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mailmissouri-my.sharepoint.com/personal/lutesjl_umsystem_edu/Documents/Documents/Livestock/Small Ruminant/Budgets/2024 Budgets/"/>
    </mc:Choice>
  </mc:AlternateContent>
  <xr:revisionPtr revIDLastSave="196" documentId="8_{3428FBFA-158E-4001-A572-95CE5ECBE7A6}" xr6:coauthVersionLast="47" xr6:coauthVersionMax="47" xr10:uidLastSave="{DB8240B5-E325-42B5-B5C0-C0B2C3D5E1B3}"/>
  <bookViews>
    <workbookView xWindow="-120" yWindow="-120" windowWidth="29040" windowHeight="15840" tabRatio="669" xr2:uid="{00000000-000D-0000-FFFF-FFFF00000000}"/>
  </bookViews>
  <sheets>
    <sheet name="Intro" sheetId="9" r:id="rId1"/>
    <sheet name="Simple Budget" sheetId="8" r:id="rId2"/>
    <sheet name="Detailed Budget" sheetId="5" r:id="rId3"/>
    <sheet name="Cost Assumptions" sheetId="1" r:id="rId4"/>
    <sheet name="Flock Assumptions" sheetId="2" r:id="rId5"/>
    <sheet name="Feed Assumptions" sheetId="3" r:id="rId6"/>
    <sheet name="Health Assumptions" sheetId="7" r:id="rId7"/>
    <sheet name="Buildings &amp; Machinery" sheetId="4" r:id="rId8"/>
  </sheets>
  <definedNames>
    <definedName name="_xlnm.Print_Area" localSheetId="7">'Buildings &amp; Machinery'!$B$2:$K$61</definedName>
    <definedName name="_xlnm.Print_Area" localSheetId="3">'Cost Assumptions'!$B$2:$F$31</definedName>
    <definedName name="_xlnm.Print_Area" localSheetId="2">'Detailed Budget'!$B$2:$U$49</definedName>
    <definedName name="_xlnm.Print_Area" localSheetId="5">'Feed Assumptions'!$B$2:$M$57</definedName>
    <definedName name="_xlnm.Print_Area" localSheetId="4">'Flock Assumptions'!$B$5:$J$42</definedName>
    <definedName name="_xlnm.Print_Area" localSheetId="6">'Health Assumptions'!$B$2:$M$36</definedName>
    <definedName name="_xlnm.Print_Area" localSheetId="1">'Simple Budget'!$B$2:$L$49</definedName>
    <definedName name="solver_adj" localSheetId="1" hidden="1">'Simple Budget'!$M$43</definedName>
    <definedName name="solver_cvg" localSheetId="1" hidden="1">0.0001</definedName>
    <definedName name="solver_drv" localSheetId="1" hidden="1">2</definedName>
    <definedName name="solver_eng" localSheetId="4" hidden="1">1</definedName>
    <definedName name="solver_eng" localSheetId="1" hidden="1">1</definedName>
    <definedName name="solver_est" localSheetId="1" hidden="1">1</definedName>
    <definedName name="solver_itr" localSheetId="1" hidden="1">2147483647</definedName>
    <definedName name="solver_lhs1" localSheetId="1" hidden="1">'Simple Budget'!$M$43</definedName>
    <definedName name="solver_lhs2" localSheetId="1" hidden="1">'Simple Budget'!$M$43</definedName>
    <definedName name="solver_lhs3" localSheetId="1" hidden="1">'Simple Budget'!$M$43</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4" hidden="1">1</definedName>
    <definedName name="solver_neg" localSheetId="1" hidden="1">2</definedName>
    <definedName name="solver_nod" localSheetId="1" hidden="1">2147483647</definedName>
    <definedName name="solver_num" localSheetId="4" hidden="1">0</definedName>
    <definedName name="solver_num" localSheetId="1" hidden="1">1</definedName>
    <definedName name="solver_nwt" localSheetId="1" hidden="1">1</definedName>
    <definedName name="solver_opt" localSheetId="4" hidden="1">'Flock Assumptions'!$S$28</definedName>
    <definedName name="solver_opt" localSheetId="1" hidden="1">'Simple Budget'!$J$43</definedName>
    <definedName name="solver_pre" localSheetId="1" hidden="1">0.000001</definedName>
    <definedName name="solver_rbv" localSheetId="1" hidden="1">2</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1</definedName>
    <definedName name="solver_rhs3" localSheetId="1" hidden="1">1</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4" hidden="1">1</definedName>
    <definedName name="solver_typ" localSheetId="1" hidden="1">3</definedName>
    <definedName name="solver_val" localSheetId="4" hidden="1">0</definedName>
    <definedName name="solver_val" localSheetId="1" hidden="1">0</definedName>
    <definedName name="solver_ver" localSheetId="4" hidden="1">3</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4" l="1"/>
  <c r="D51" i="4"/>
  <c r="D50" i="4"/>
  <c r="D46" i="4"/>
  <c r="D21" i="4"/>
  <c r="D53" i="4" l="1"/>
  <c r="H11" i="4" l="1"/>
  <c r="F14" i="3"/>
  <c r="G9" i="3" l="1"/>
  <c r="J9" i="3" l="1"/>
  <c r="F9" i="3"/>
  <c r="C49" i="5" l="1"/>
  <c r="C48" i="5"/>
  <c r="D16" i="2"/>
  <c r="J34" i="2" s="1"/>
  <c r="B3" i="8"/>
  <c r="B3" i="5" s="1"/>
  <c r="C30" i="4"/>
  <c r="D30" i="4" s="1"/>
  <c r="H29" i="4"/>
  <c r="I29" i="4" s="1"/>
  <c r="I43" i="4" s="1"/>
  <c r="H28" i="4"/>
  <c r="I28" i="4" s="1"/>
  <c r="I42" i="4" s="1"/>
  <c r="H27" i="4"/>
  <c r="I27" i="4" s="1"/>
  <c r="E30" i="4"/>
  <c r="E29" i="4"/>
  <c r="E28" i="4"/>
  <c r="E27" i="4"/>
  <c r="E26" i="4"/>
  <c r="E25" i="4"/>
  <c r="E23" i="4"/>
  <c r="E22" i="4"/>
  <c r="E21" i="4"/>
  <c r="H42" i="4" l="1"/>
  <c r="H43" i="4"/>
  <c r="B5" i="8"/>
  <c r="B5" i="5" s="1"/>
  <c r="C47" i="5"/>
  <c r="C46" i="5"/>
  <c r="C45" i="5"/>
  <c r="C43" i="5"/>
  <c r="C42" i="5"/>
  <c r="C37" i="5"/>
  <c r="C36" i="5"/>
  <c r="C35" i="5"/>
  <c r="C34" i="5"/>
  <c r="C30" i="5"/>
  <c r="C29" i="5"/>
  <c r="C28" i="5"/>
  <c r="C27" i="5"/>
  <c r="C26" i="5"/>
  <c r="C25" i="5"/>
  <c r="C24" i="5"/>
  <c r="C23" i="5"/>
  <c r="C22" i="5"/>
  <c r="C21" i="5"/>
  <c r="C20" i="5"/>
  <c r="C19" i="5"/>
  <c r="C18" i="5"/>
  <c r="C17" i="5"/>
  <c r="C16" i="5"/>
  <c r="I17" i="5"/>
  <c r="G12" i="5"/>
  <c r="I12" i="5"/>
  <c r="I10" i="5"/>
  <c r="I9" i="5"/>
  <c r="I11" i="5"/>
  <c r="G11" i="5"/>
  <c r="C10" i="5"/>
  <c r="C11" i="5"/>
  <c r="C12" i="5"/>
  <c r="C9" i="5"/>
  <c r="G10" i="5"/>
  <c r="G9" i="5"/>
  <c r="I15" i="2"/>
  <c r="I12" i="8"/>
  <c r="G12" i="8"/>
  <c r="F12" i="8"/>
  <c r="I16" i="2"/>
  <c r="I11" i="2" l="1"/>
  <c r="C21" i="4"/>
  <c r="F12" i="5" l="1"/>
  <c r="E16" i="2" l="1"/>
  <c r="E17" i="2" l="1"/>
  <c r="E18" i="2" s="1"/>
  <c r="P15" i="3"/>
  <c r="G18" i="3"/>
  <c r="E35" i="4"/>
  <c r="F34" i="7"/>
  <c r="I20" i="2"/>
  <c r="I22" i="2"/>
  <c r="C25" i="4"/>
  <c r="C22" i="4"/>
  <c r="G34" i="2"/>
  <c r="F18" i="3"/>
  <c r="G32" i="3" l="1"/>
  <c r="C37" i="3"/>
  <c r="S14" i="5" l="1"/>
  <c r="S13" i="5"/>
  <c r="S12" i="5"/>
  <c r="S7" i="5"/>
  <c r="S8" i="5"/>
  <c r="S9" i="5"/>
  <c r="F59" i="4" l="1"/>
  <c r="T34" i="5" s="1"/>
  <c r="F58" i="4"/>
  <c r="T33" i="5" s="1"/>
  <c r="T26" i="5"/>
  <c r="R26" i="5"/>
  <c r="Q26" i="5"/>
  <c r="T24" i="5"/>
  <c r="R21" i="5"/>
  <c r="Q21" i="5"/>
  <c r="G17" i="1" l="1"/>
  <c r="G16" i="1"/>
  <c r="G15" i="1"/>
  <c r="G14" i="1"/>
  <c r="G13" i="1"/>
  <c r="G12" i="1"/>
  <c r="L29" i="3" l="1"/>
  <c r="F28" i="7" l="1"/>
  <c r="D28" i="7"/>
  <c r="G37" i="8" l="1"/>
  <c r="I30" i="8"/>
  <c r="G29" i="8"/>
  <c r="I21" i="8"/>
  <c r="F17" i="8"/>
  <c r="I16" i="8"/>
  <c r="F16" i="8"/>
  <c r="I11" i="8"/>
  <c r="G11" i="8"/>
  <c r="F11" i="8"/>
  <c r="I9" i="8"/>
  <c r="G9" i="8"/>
  <c r="G37" i="5" l="1"/>
  <c r="G29" i="5"/>
  <c r="K32" i="3" l="1"/>
  <c r="L32" i="3"/>
  <c r="E32" i="3"/>
  <c r="H11" i="2" l="1"/>
  <c r="H10" i="2"/>
  <c r="H9" i="2"/>
  <c r="H8" i="2"/>
  <c r="G9" i="2"/>
  <c r="G8" i="2"/>
  <c r="I17" i="8" l="1"/>
  <c r="J11" i="2"/>
  <c r="J12" i="8" l="1"/>
  <c r="K12" i="8" s="1"/>
  <c r="K12" i="5" s="1"/>
  <c r="E57" i="4"/>
  <c r="C38" i="3"/>
  <c r="I9" i="3"/>
  <c r="I33" i="2"/>
  <c r="J33" i="2" s="1"/>
  <c r="I21" i="5"/>
  <c r="E32" i="7"/>
  <c r="F32" i="7" s="1"/>
  <c r="M18" i="3"/>
  <c r="E18" i="3"/>
  <c r="F32" i="3"/>
  <c r="H18" i="3"/>
  <c r="H32" i="3" s="1"/>
  <c r="J18" i="3"/>
  <c r="D18" i="3"/>
  <c r="B28" i="3"/>
  <c r="B27" i="3"/>
  <c r="B26" i="3"/>
  <c r="B50" i="3"/>
  <c r="P9" i="3" l="1"/>
  <c r="P18" i="3" s="1"/>
  <c r="P10" i="3"/>
  <c r="H33" i="2"/>
  <c r="D37" i="3"/>
  <c r="D38" i="3"/>
  <c r="J12" i="5"/>
  <c r="J32" i="3"/>
  <c r="R32" i="5"/>
  <c r="P19" i="3"/>
  <c r="M32" i="3"/>
  <c r="P23" i="3"/>
  <c r="I18" i="8"/>
  <c r="T21" i="5"/>
  <c r="E15" i="3"/>
  <c r="F15" i="3"/>
  <c r="G15" i="3"/>
  <c r="H15" i="3"/>
  <c r="I15" i="3"/>
  <c r="J15" i="3"/>
  <c r="M15" i="3"/>
  <c r="D15" i="3"/>
  <c r="J16" i="8"/>
  <c r="K16" i="8" s="1"/>
  <c r="K16" i="5" s="1"/>
  <c r="J16" i="5" l="1"/>
  <c r="F29" i="3"/>
  <c r="G29" i="3"/>
  <c r="H29" i="3"/>
  <c r="I29" i="3"/>
  <c r="J29" i="3"/>
  <c r="M29" i="3"/>
  <c r="D29" i="3"/>
  <c r="E29" i="3"/>
  <c r="F22" i="3"/>
  <c r="G22" i="3"/>
  <c r="H22" i="3"/>
  <c r="I22" i="3"/>
  <c r="J22" i="3"/>
  <c r="M22" i="3"/>
  <c r="D22" i="3"/>
  <c r="E22" i="3"/>
  <c r="S10" i="5" l="1"/>
  <c r="E37" i="3" l="1"/>
  <c r="F37" i="3" s="1"/>
  <c r="E38" i="3"/>
  <c r="F38" i="3" s="1"/>
  <c r="I34" i="2"/>
  <c r="G59" i="4" l="1"/>
  <c r="G58" i="4"/>
  <c r="U33" i="5" s="1"/>
  <c r="B19" i="3"/>
  <c r="B58" i="4"/>
  <c r="U34" i="5" l="1"/>
  <c r="I18" i="5"/>
  <c r="P13" i="3"/>
  <c r="I21" i="2"/>
  <c r="D10" i="3"/>
  <c r="I16" i="5" l="1"/>
  <c r="I10" i="2"/>
  <c r="F11" i="5" s="1"/>
  <c r="F31" i="7"/>
  <c r="I30" i="5" l="1"/>
  <c r="F16" i="5"/>
  <c r="K5" i="7"/>
  <c r="F25" i="4" l="1"/>
  <c r="F39" i="4" s="1"/>
  <c r="C29" i="4"/>
  <c r="C43" i="4" s="1"/>
  <c r="C28" i="4"/>
  <c r="D28" i="4" s="1"/>
  <c r="C27" i="4"/>
  <c r="D27" i="4" s="1"/>
  <c r="C26" i="4"/>
  <c r="C40" i="4" s="1"/>
  <c r="C44" i="4"/>
  <c r="D25" i="4"/>
  <c r="C23" i="4"/>
  <c r="D23" i="4" s="1"/>
  <c r="D22" i="4"/>
  <c r="F27" i="4"/>
  <c r="F41" i="4" s="1"/>
  <c r="H30" i="4"/>
  <c r="H44" i="4" s="1"/>
  <c r="H25" i="4"/>
  <c r="H26" i="4"/>
  <c r="F30" i="4"/>
  <c r="F44" i="4" s="1"/>
  <c r="F29" i="4"/>
  <c r="F43" i="4" s="1"/>
  <c r="F28" i="4"/>
  <c r="F42" i="4" s="1"/>
  <c r="F26" i="4"/>
  <c r="F40" i="4" s="1"/>
  <c r="F23" i="4"/>
  <c r="F37" i="4" s="1"/>
  <c r="F22" i="4"/>
  <c r="F36" i="4" s="1"/>
  <c r="F21" i="4"/>
  <c r="G29" i="4"/>
  <c r="G28" i="4"/>
  <c r="G27" i="4"/>
  <c r="G26" i="4"/>
  <c r="G40" i="4" s="1"/>
  <c r="G25" i="4"/>
  <c r="G39" i="4" s="1"/>
  <c r="G23" i="4"/>
  <c r="G37" i="4" s="1"/>
  <c r="G22" i="4"/>
  <c r="G36" i="4" s="1"/>
  <c r="G21" i="4"/>
  <c r="G35" i="4" s="1"/>
  <c r="E43" i="4"/>
  <c r="E42" i="4"/>
  <c r="E41" i="4"/>
  <c r="E39" i="4"/>
  <c r="G30" i="4"/>
  <c r="E44" i="4"/>
  <c r="E37" i="4"/>
  <c r="E36" i="4"/>
  <c r="B44" i="4"/>
  <c r="B43" i="4"/>
  <c r="B42" i="4"/>
  <c r="B41" i="4"/>
  <c r="B40" i="4"/>
  <c r="B39" i="4"/>
  <c r="B37" i="4"/>
  <c r="B36" i="4"/>
  <c r="B35" i="4"/>
  <c r="B30" i="4"/>
  <c r="B29" i="4"/>
  <c r="B28" i="4"/>
  <c r="B27" i="4"/>
  <c r="B26" i="4"/>
  <c r="B25" i="4"/>
  <c r="B23" i="4"/>
  <c r="B22" i="4"/>
  <c r="B21" i="4"/>
  <c r="C17" i="4"/>
  <c r="G41" i="4" l="1"/>
  <c r="J27" i="4"/>
  <c r="G43" i="4"/>
  <c r="J29" i="4"/>
  <c r="L21" i="4"/>
  <c r="G42" i="4"/>
  <c r="J28" i="4"/>
  <c r="G44" i="4"/>
  <c r="H39" i="4"/>
  <c r="I26" i="4"/>
  <c r="I40" i="4" s="1"/>
  <c r="E50" i="4"/>
  <c r="L27" i="4"/>
  <c r="L25" i="4"/>
  <c r="G50" i="4"/>
  <c r="J28" i="8" s="1"/>
  <c r="K28" i="8" s="1"/>
  <c r="K28" i="5" s="1"/>
  <c r="F35" i="4"/>
  <c r="F50" i="4" s="1"/>
  <c r="L28" i="4"/>
  <c r="L22" i="4"/>
  <c r="L23" i="4"/>
  <c r="C31" i="4"/>
  <c r="F51" i="4"/>
  <c r="H41" i="4"/>
  <c r="H31" i="4"/>
  <c r="H40" i="4"/>
  <c r="I25" i="4"/>
  <c r="J25" i="4" s="1"/>
  <c r="D26" i="4"/>
  <c r="D36" i="4"/>
  <c r="C37" i="4"/>
  <c r="D29" i="4"/>
  <c r="L29" i="4" s="1"/>
  <c r="C36" i="4"/>
  <c r="C42" i="4"/>
  <c r="D41" i="4"/>
  <c r="D42" i="4"/>
  <c r="D37" i="4"/>
  <c r="D39" i="4"/>
  <c r="C39" i="4"/>
  <c r="C35" i="4"/>
  <c r="C41" i="4"/>
  <c r="D35" i="4"/>
  <c r="E40" i="4"/>
  <c r="E51" i="4" s="1"/>
  <c r="G31" i="4"/>
  <c r="E31" i="4"/>
  <c r="F31" i="4"/>
  <c r="I30" i="4"/>
  <c r="I44" i="4" s="1"/>
  <c r="J26" i="4" l="1"/>
  <c r="J30" i="4"/>
  <c r="I41" i="4"/>
  <c r="J28" i="5"/>
  <c r="D44" i="4"/>
  <c r="L30" i="4"/>
  <c r="D40" i="4"/>
  <c r="L26" i="4"/>
  <c r="C51" i="4"/>
  <c r="C50" i="4"/>
  <c r="I18" i="3"/>
  <c r="I17" i="2"/>
  <c r="J23" i="8" s="1"/>
  <c r="K23" i="8" s="1"/>
  <c r="K23" i="5" s="1"/>
  <c r="E14" i="2"/>
  <c r="E15" i="2"/>
  <c r="J35" i="2"/>
  <c r="J10" i="3"/>
  <c r="F17" i="5"/>
  <c r="I39" i="4"/>
  <c r="I31" i="4"/>
  <c r="D31" i="4"/>
  <c r="D43" i="4"/>
  <c r="J17" i="8"/>
  <c r="K17" i="8" s="1"/>
  <c r="F33" i="7"/>
  <c r="F36" i="7"/>
  <c r="G21" i="7"/>
  <c r="G19" i="7"/>
  <c r="F29" i="7"/>
  <c r="J24" i="8" s="1"/>
  <c r="K24" i="8" s="1"/>
  <c r="K24" i="5" s="1"/>
  <c r="M28" i="7"/>
  <c r="G22" i="7"/>
  <c r="L28" i="7"/>
  <c r="G18" i="7"/>
  <c r="G20" i="7"/>
  <c r="F35" i="7"/>
  <c r="K17" i="5" l="1"/>
  <c r="J17" i="5"/>
  <c r="J24" i="5"/>
  <c r="J23" i="5"/>
  <c r="J26" i="8"/>
  <c r="K26" i="8" s="1"/>
  <c r="K26" i="5" s="1"/>
  <c r="G8" i="7"/>
  <c r="G51" i="4"/>
  <c r="J27" i="8" s="1"/>
  <c r="K27" i="8" s="1"/>
  <c r="K27" i="5" s="1"/>
  <c r="I32" i="3"/>
  <c r="P22" i="3" s="1"/>
  <c r="G18" i="8"/>
  <c r="S21" i="5"/>
  <c r="U21" i="5" s="1"/>
  <c r="G18" i="5"/>
  <c r="J34" i="8"/>
  <c r="K34" i="8" s="1"/>
  <c r="K34" i="5" s="1"/>
  <c r="J34" i="5" l="1"/>
  <c r="J27" i="5"/>
  <c r="J26" i="5"/>
  <c r="D39" i="3"/>
  <c r="F10" i="3" l="1"/>
  <c r="G10" i="3"/>
  <c r="H10" i="3"/>
  <c r="I10" i="3"/>
  <c r="D46" i="3" s="1"/>
  <c r="D56" i="3" l="1"/>
  <c r="Q24" i="5" s="1"/>
  <c r="D53" i="3"/>
  <c r="D51" i="3"/>
  <c r="D52" i="3"/>
  <c r="D47" i="3"/>
  <c r="D45" i="3"/>
  <c r="E10" i="3"/>
  <c r="B31" i="3"/>
  <c r="B56" i="3" s="1"/>
  <c r="B14" i="3"/>
  <c r="B38" i="3" s="1"/>
  <c r="B45" i="3"/>
  <c r="B20" i="3"/>
  <c r="B46" i="3" s="1"/>
  <c r="B21" i="3"/>
  <c r="B47" i="3" s="1"/>
  <c r="B51" i="3"/>
  <c r="B52" i="3"/>
  <c r="B53" i="3"/>
  <c r="B13" i="3"/>
  <c r="B37" i="3" s="1"/>
  <c r="D54" i="3" l="1"/>
  <c r="D48" i="3"/>
  <c r="Q22" i="5" s="1"/>
  <c r="D17" i="4"/>
  <c r="Q23" i="5" l="1"/>
  <c r="D57" i="3"/>
  <c r="M29" i="7"/>
  <c r="M30" i="7" s="1"/>
  <c r="U26" i="5" s="1"/>
  <c r="L29" i="7"/>
  <c r="L30" i="7" s="1"/>
  <c r="S26" i="5" s="1"/>
  <c r="G10" i="7"/>
  <c r="G14" i="7"/>
  <c r="G11" i="7"/>
  <c r="G12" i="7"/>
  <c r="G13" i="7"/>
  <c r="G9" i="7"/>
  <c r="C45" i="4"/>
  <c r="C46" i="4" s="1"/>
  <c r="F45" i="4"/>
  <c r="F46" i="4" s="1"/>
  <c r="E45" i="4"/>
  <c r="E46" i="4" s="1"/>
  <c r="J30" i="8" l="1"/>
  <c r="K30" i="8" s="1"/>
  <c r="K30" i="5" s="1"/>
  <c r="G30" i="8"/>
  <c r="G30" i="5"/>
  <c r="G23" i="7"/>
  <c r="J22" i="8" s="1"/>
  <c r="K22" i="8" s="1"/>
  <c r="K22" i="5" s="1"/>
  <c r="G45" i="4"/>
  <c r="G46" i="4" s="1"/>
  <c r="F53" i="4"/>
  <c r="J35" i="8" s="1"/>
  <c r="K35" i="8" s="1"/>
  <c r="K35" i="5" s="1"/>
  <c r="E53" i="4"/>
  <c r="J36" i="8" s="1"/>
  <c r="K36" i="8" s="1"/>
  <c r="K36" i="5" s="1"/>
  <c r="J22" i="5" l="1"/>
  <c r="J35" i="5"/>
  <c r="J36" i="5"/>
  <c r="J30" i="5"/>
  <c r="K9" i="7"/>
  <c r="I45" i="4"/>
  <c r="I46" i="4" s="1"/>
  <c r="D45" i="4"/>
  <c r="H45" i="4"/>
  <c r="H46" i="4" s="1"/>
  <c r="G53" i="4" l="1"/>
  <c r="K8" i="7" s="1"/>
  <c r="E11" i="2" l="1"/>
  <c r="E8" i="2"/>
  <c r="E10" i="2" s="1"/>
  <c r="L10" i="3" l="1"/>
  <c r="E13" i="2"/>
  <c r="E39" i="3" l="1"/>
  <c r="F50" i="3"/>
  <c r="L11" i="2"/>
  <c r="J10" i="2"/>
  <c r="J11" i="8" s="1"/>
  <c r="K11" i="8" s="1"/>
  <c r="K11" i="5" s="1"/>
  <c r="I23" i="2"/>
  <c r="J11" i="5" l="1"/>
  <c r="E25" i="2"/>
  <c r="I9" i="2"/>
  <c r="D57" i="4"/>
  <c r="F39" i="3"/>
  <c r="J18" i="8" s="1"/>
  <c r="K18" i="8" s="1"/>
  <c r="E50" i="3"/>
  <c r="G50" i="3"/>
  <c r="H50" i="3" s="1"/>
  <c r="M10" i="3"/>
  <c r="E53" i="3" s="1"/>
  <c r="J37" i="8"/>
  <c r="K37" i="8" s="1"/>
  <c r="C52" i="4"/>
  <c r="L10" i="2"/>
  <c r="K18" i="5" l="1"/>
  <c r="K37" i="5"/>
  <c r="K38" i="5" s="1"/>
  <c r="K38" i="8"/>
  <c r="J37" i="5"/>
  <c r="J38" i="5" s="1"/>
  <c r="J38" i="8"/>
  <c r="J18" i="5"/>
  <c r="I8" i="2"/>
  <c r="F10" i="5"/>
  <c r="E24" i="2"/>
  <c r="H34" i="2" s="1"/>
  <c r="J9" i="2"/>
  <c r="S32" i="5"/>
  <c r="F57" i="4"/>
  <c r="T32" i="5" s="1"/>
  <c r="K6" i="7"/>
  <c r="F56" i="3"/>
  <c r="E56" i="3"/>
  <c r="F53" i="3"/>
  <c r="G53" i="3" s="1"/>
  <c r="H53" i="3" s="1"/>
  <c r="F52" i="3"/>
  <c r="G52" i="3" s="1"/>
  <c r="H52" i="3" s="1"/>
  <c r="F51" i="3"/>
  <c r="E51" i="3"/>
  <c r="E52" i="3"/>
  <c r="F46" i="3"/>
  <c r="G46" i="3" s="1"/>
  <c r="H46" i="3" s="1"/>
  <c r="F47" i="3"/>
  <c r="G47" i="3" s="1"/>
  <c r="H47" i="3" s="1"/>
  <c r="F45" i="3"/>
  <c r="G45" i="3" s="1"/>
  <c r="H45" i="3" s="1"/>
  <c r="E45" i="3"/>
  <c r="E47" i="3"/>
  <c r="E46" i="3"/>
  <c r="G63" i="3"/>
  <c r="C53" i="4"/>
  <c r="F24" i="2" l="1"/>
  <c r="F9" i="5"/>
  <c r="S11" i="5"/>
  <c r="J8" i="2"/>
  <c r="J9" i="8" s="1"/>
  <c r="K9" i="8" s="1"/>
  <c r="F9" i="8"/>
  <c r="F25" i="2"/>
  <c r="L9" i="2"/>
  <c r="J10" i="8"/>
  <c r="K10" i="8" s="1"/>
  <c r="K10" i="5" s="1"/>
  <c r="G21" i="8"/>
  <c r="S24" i="5"/>
  <c r="R24" i="5"/>
  <c r="G57" i="4"/>
  <c r="U32" i="5" s="1"/>
  <c r="F60" i="4"/>
  <c r="G56" i="3"/>
  <c r="G21" i="5"/>
  <c r="E54" i="3"/>
  <c r="G51" i="3"/>
  <c r="H51" i="3" s="1"/>
  <c r="F54" i="3"/>
  <c r="F48" i="3"/>
  <c r="G64" i="3"/>
  <c r="K9" i="5" l="1"/>
  <c r="K13" i="5" s="1"/>
  <c r="K13" i="8"/>
  <c r="D26" i="2"/>
  <c r="J13" i="8"/>
  <c r="J9" i="5"/>
  <c r="J10" i="5"/>
  <c r="J12" i="2"/>
  <c r="E30" i="7" s="1"/>
  <c r="F30" i="7" s="1"/>
  <c r="J25" i="8" s="1"/>
  <c r="K25" i="8" s="1"/>
  <c r="K25" i="5" s="1"/>
  <c r="L8" i="2"/>
  <c r="L12" i="2" s="1"/>
  <c r="G19" i="8"/>
  <c r="S22" i="5"/>
  <c r="G20" i="8"/>
  <c r="S23" i="5"/>
  <c r="R23" i="5"/>
  <c r="T35" i="5"/>
  <c r="G60" i="4"/>
  <c r="G19" i="5"/>
  <c r="G20" i="5"/>
  <c r="H56" i="3"/>
  <c r="F57" i="3"/>
  <c r="G54" i="3"/>
  <c r="C52" i="3"/>
  <c r="E48" i="3"/>
  <c r="R22" i="5" s="1"/>
  <c r="C46" i="3"/>
  <c r="C47" i="3"/>
  <c r="C45" i="3"/>
  <c r="G48" i="3"/>
  <c r="C53" i="3"/>
  <c r="C51" i="3"/>
  <c r="C50" i="3"/>
  <c r="J13" i="5" l="1"/>
  <c r="J25" i="5"/>
  <c r="F37" i="7"/>
  <c r="K10" i="7" s="1"/>
  <c r="T22" i="5"/>
  <c r="J21" i="8"/>
  <c r="K21" i="8" s="1"/>
  <c r="K21" i="5" s="1"/>
  <c r="U24" i="5"/>
  <c r="T23" i="5"/>
  <c r="U35" i="5"/>
  <c r="E60" i="3"/>
  <c r="F60" i="3" s="1"/>
  <c r="F61" i="3"/>
  <c r="G61" i="3" s="1"/>
  <c r="I20" i="8" s="1"/>
  <c r="G57" i="3"/>
  <c r="E57" i="3"/>
  <c r="H54" i="3"/>
  <c r="C48" i="3"/>
  <c r="C54" i="3"/>
  <c r="H48" i="3"/>
  <c r="J21" i="5" l="1"/>
  <c r="J19" i="8"/>
  <c r="K19" i="8" s="1"/>
  <c r="U22" i="5"/>
  <c r="J20" i="8"/>
  <c r="K20" i="8" s="1"/>
  <c r="K20" i="5" s="1"/>
  <c r="U23" i="5"/>
  <c r="I20" i="5"/>
  <c r="H57" i="3"/>
  <c r="K7" i="7" s="1"/>
  <c r="K11" i="7" s="1"/>
  <c r="K13" i="7" s="1"/>
  <c r="J29" i="8" s="1"/>
  <c r="K29" i="8" s="1"/>
  <c r="K29" i="5" s="1"/>
  <c r="G60" i="3"/>
  <c r="I19" i="8" s="1"/>
  <c r="K19" i="5" l="1"/>
  <c r="K31" i="5" s="1"/>
  <c r="K40" i="5" s="1"/>
  <c r="K31" i="8"/>
  <c r="K40" i="8" s="1"/>
  <c r="J31" i="8"/>
  <c r="J20" i="5"/>
  <c r="J29" i="5"/>
  <c r="J19" i="5"/>
  <c r="I19" i="5"/>
  <c r="J40" i="8" l="1"/>
  <c r="J47" i="8" s="1"/>
  <c r="J47" i="5" s="1"/>
  <c r="J46" i="8"/>
  <c r="J46" i="5" s="1"/>
  <c r="J42" i="8"/>
  <c r="J31" i="5"/>
  <c r="J40" i="5" s="1"/>
  <c r="J42" i="5" l="1"/>
  <c r="K42" i="8"/>
  <c r="K42" i="5" s="1"/>
  <c r="J45" i="8"/>
  <c r="J43" i="8"/>
  <c r="J43" i="5" l="1"/>
  <c r="K43" i="8"/>
  <c r="K43" i="5" s="1"/>
  <c r="J45" i="5"/>
  <c r="K45" i="8"/>
  <c r="K45" i="5" s="1"/>
</calcChain>
</file>

<file path=xl/sharedStrings.xml><?xml version="1.0" encoding="utf-8"?>
<sst xmlns="http://schemas.openxmlformats.org/spreadsheetml/2006/main" count="616" uniqueCount="396">
  <si>
    <t>$ per ton</t>
  </si>
  <si>
    <t>Description</t>
  </si>
  <si>
    <t>Fuel, off-road</t>
  </si>
  <si>
    <t>Fuel, highway</t>
  </si>
  <si>
    <t>Units</t>
  </si>
  <si>
    <t>$ per hour</t>
  </si>
  <si>
    <t>$ per gallon</t>
  </si>
  <si>
    <t>Annual % rate</t>
  </si>
  <si>
    <t>per unit</t>
  </si>
  <si>
    <t>Items</t>
  </si>
  <si>
    <t>Fuel</t>
  </si>
  <si>
    <t>Operating rate</t>
  </si>
  <si>
    <t>Values</t>
  </si>
  <si>
    <t>$ per head</t>
  </si>
  <si>
    <t>Sell price</t>
  </si>
  <si>
    <t>Replacement</t>
  </si>
  <si>
    <t>Total</t>
  </si>
  <si>
    <t>Value</t>
  </si>
  <si>
    <t>Sell or transfer</t>
  </si>
  <si>
    <t>Fraction</t>
  </si>
  <si>
    <t>$</t>
  </si>
  <si>
    <t>Hay</t>
  </si>
  <si>
    <t>Purchase</t>
  </si>
  <si>
    <t>Salvage</t>
  </si>
  <si>
    <t>Lube</t>
  </si>
  <si>
    <t>Repair</t>
  </si>
  <si>
    <t>Enterprise</t>
  </si>
  <si>
    <t>Stock trailer, 16 ft.</t>
  </si>
  <si>
    <t>TIH</t>
  </si>
  <si>
    <t>Deprec</t>
  </si>
  <si>
    <t>Interest on</t>
  </si>
  <si>
    <t>Oper. $ per</t>
  </si>
  <si>
    <t>hr or mile</t>
  </si>
  <si>
    <t>Sum</t>
  </si>
  <si>
    <t>Oppor.</t>
  </si>
  <si>
    <t>Operating</t>
  </si>
  <si>
    <t>Deprec.</t>
  </si>
  <si>
    <t>Interest</t>
  </si>
  <si>
    <t>capital, $</t>
  </si>
  <si>
    <t>price, $</t>
  </si>
  <si>
    <t>value, %</t>
  </si>
  <si>
    <t>life</t>
  </si>
  <si>
    <t>factor</t>
  </si>
  <si>
    <t>allocation</t>
  </si>
  <si>
    <t>Opportunity cost rate</t>
  </si>
  <si>
    <t>Econ.</t>
  </si>
  <si>
    <t xml:space="preserve"> </t>
  </si>
  <si>
    <t>Share of farm capital related cost allocated</t>
  </si>
  <si>
    <t>Machinery and equipment</t>
  </si>
  <si>
    <t>Operating costs</t>
  </si>
  <si>
    <t>Marketing</t>
  </si>
  <si>
    <t>Ownership costs</t>
  </si>
  <si>
    <t>TIH*</t>
  </si>
  <si>
    <t>number of head</t>
  </si>
  <si>
    <t>$ per acre/yr</t>
  </si>
  <si>
    <t>Adult death loss</t>
  </si>
  <si>
    <t>$ per lb</t>
  </si>
  <si>
    <t>Flushing</t>
  </si>
  <si>
    <t>Late</t>
  </si>
  <si>
    <t>Lactating</t>
  </si>
  <si>
    <t>days</t>
  </si>
  <si>
    <t>lbs/hd/day</t>
  </si>
  <si>
    <t>Feeder</t>
  </si>
  <si>
    <t>Early</t>
  </si>
  <si>
    <t>gestation</t>
  </si>
  <si>
    <t>creep</t>
  </si>
  <si>
    <t>Days in group</t>
  </si>
  <si>
    <t>Confined</t>
  </si>
  <si>
    <t>num. of head</t>
  </si>
  <si>
    <t>no-graze days</t>
  </si>
  <si>
    <t>$ fed</t>
  </si>
  <si>
    <t>Lbs as-fed</t>
  </si>
  <si>
    <t>days of grazing</t>
  </si>
  <si>
    <t>Guard dogs</t>
  </si>
  <si>
    <t>years</t>
  </si>
  <si>
    <t>Guard dog longevity</t>
  </si>
  <si>
    <t>Breeding stock</t>
  </si>
  <si>
    <t>Check</t>
  </si>
  <si>
    <t>* TIH factor is taxes, insurance and housing</t>
  </si>
  <si>
    <t>Check hay feeding days</t>
  </si>
  <si>
    <t>Days</t>
  </si>
  <si>
    <t>Dog food</t>
  </si>
  <si>
    <t>per year</t>
  </si>
  <si>
    <t>$ per</t>
  </si>
  <si>
    <t>Adult</t>
  </si>
  <si>
    <t>Total VetMed per BEU</t>
  </si>
  <si>
    <t>Veterinarian trip</t>
  </si>
  <si>
    <t>Table 2. Flock production and stock investment values</t>
  </si>
  <si>
    <t>Total returns</t>
  </si>
  <si>
    <t>weight, lbs/hd</t>
  </si>
  <si>
    <t>CDT vac</t>
  </si>
  <si>
    <t>Other vac</t>
  </si>
  <si>
    <t>VetMed supplies</t>
  </si>
  <si>
    <t>$ per yr</t>
  </si>
  <si>
    <t>Line-item</t>
  </si>
  <si>
    <t>unit</t>
  </si>
  <si>
    <t>Unit</t>
  </si>
  <si>
    <t>description</t>
  </si>
  <si>
    <t>Bedding</t>
  </si>
  <si>
    <t>Utilities</t>
  </si>
  <si>
    <t>num. of units</t>
  </si>
  <si>
    <t>enterprise</t>
  </si>
  <si>
    <t>whole-farm</t>
  </si>
  <si>
    <t>Miscellaneous</t>
  </si>
  <si>
    <t>Only the best</t>
  </si>
  <si>
    <t>Sum of other items</t>
  </si>
  <si>
    <t>labor hours</t>
  </si>
  <si>
    <t>Breeding supplies</t>
  </si>
  <si>
    <t>Professional fees, dues</t>
  </si>
  <si>
    <t>Price to farm</t>
  </si>
  <si>
    <t>2.1. Production parameters</t>
  </si>
  <si>
    <t>Validation checks for table 4.1</t>
  </si>
  <si>
    <t>Number</t>
  </si>
  <si>
    <t>of units</t>
  </si>
  <si>
    <t xml:space="preserve"> years</t>
  </si>
  <si>
    <t>Operating loan term</t>
  </si>
  <si>
    <t>Operating interest</t>
  </si>
  <si>
    <t>Pasture</t>
  </si>
  <si>
    <t>per acre</t>
  </si>
  <si>
    <t>acres</t>
  </si>
  <si>
    <t>Sum enterprise acres</t>
  </si>
  <si>
    <t>Wage rate</t>
  </si>
  <si>
    <t>On-farm</t>
  </si>
  <si>
    <t>Supplement</t>
  </si>
  <si>
    <t>Mineral</t>
  </si>
  <si>
    <t>Working system, pens, feeders, water</t>
  </si>
  <si>
    <t>VetMed</t>
  </si>
  <si>
    <t>hrs per adult hd</t>
  </si>
  <si>
    <t>5.1.A  Planned prevention per instance (dose)</t>
  </si>
  <si>
    <t>5.1.B  Whole enterprise per year</t>
  </si>
  <si>
    <t>$/ dose</t>
  </si>
  <si>
    <t>$/dose</t>
  </si>
  <si>
    <t>waste</t>
  </si>
  <si>
    <t>gal per hp hour</t>
  </si>
  <si>
    <t xml:space="preserve">   Tractor usage</t>
  </si>
  <si>
    <t>DIRTI</t>
  </si>
  <si>
    <t>Interest $</t>
  </si>
  <si>
    <t>ATV (hr)</t>
  </si>
  <si>
    <t>Pickup (mi)</t>
  </si>
  <si>
    <t>Use per year,</t>
  </si>
  <si>
    <t>Fuel, gal per</t>
  </si>
  <si>
    <t>Facility maintenance</t>
  </si>
  <si>
    <t>Economic depreciation, facility and equipment</t>
  </si>
  <si>
    <t>Guard dog replacement</t>
  </si>
  <si>
    <t>Other custom hire</t>
  </si>
  <si>
    <t>Operator and hired labor</t>
  </si>
  <si>
    <t>Your Estimate</t>
  </si>
  <si>
    <t>Capital operations</t>
  </si>
  <si>
    <t>Hay, supp., mineral</t>
  </si>
  <si>
    <t>hr or mi</t>
  </si>
  <si>
    <t>Purchase value of guard dog</t>
  </si>
  <si>
    <t>lb</t>
  </si>
  <si>
    <t>acre</t>
  </si>
  <si>
    <t>Business overhead (pro fees, utilities, misc.)</t>
  </si>
  <si>
    <t>Machinery fuel, lube, repair</t>
  </si>
  <si>
    <t>Flock</t>
  </si>
  <si>
    <t>lbs per dog/day</t>
  </si>
  <si>
    <t>$/Unit</t>
  </si>
  <si>
    <t>General stock supplies</t>
  </si>
  <si>
    <t>AlfalfaMix</t>
  </si>
  <si>
    <t>Animals in group</t>
  </si>
  <si>
    <t>Commercial mix</t>
  </si>
  <si>
    <t>Pellet,</t>
  </si>
  <si>
    <t>Corn equiv.</t>
  </si>
  <si>
    <t>hd</t>
  </si>
  <si>
    <t>Days derived to feed hay</t>
  </si>
  <si>
    <t>gross 'sales'</t>
  </si>
  <si>
    <t>Budget</t>
  </si>
  <si>
    <t>Capital, $</t>
  </si>
  <si>
    <t>Buildings and facilities</t>
  </si>
  <si>
    <t>$ per unit</t>
  </si>
  <si>
    <t>Total $</t>
  </si>
  <si>
    <t>Machinery, equipment, pickup</t>
  </si>
  <si>
    <t>Weighted</t>
  </si>
  <si>
    <t>price</t>
  </si>
  <si>
    <t>Percent of</t>
  </si>
  <si>
    <t>All year</t>
  </si>
  <si>
    <t>lbs per hd</t>
  </si>
  <si>
    <t>Subtotal hay</t>
  </si>
  <si>
    <t>Subtotal supplement</t>
  </si>
  <si>
    <t>Sum operating 'loan'</t>
  </si>
  <si>
    <t>total $</t>
  </si>
  <si>
    <t>Adults</t>
  </si>
  <si>
    <t>% of weaned</t>
  </si>
  <si>
    <t>lbs</t>
  </si>
  <si>
    <t>$ as-fed</t>
  </si>
  <si>
    <t>per head,</t>
  </si>
  <si>
    <t>Salt-trace mineral mix</t>
  </si>
  <si>
    <t>Weighted average price of hay fed</t>
  </si>
  <si>
    <t>Weighted average price of supplement fed</t>
  </si>
  <si>
    <t>Ton</t>
  </si>
  <si>
    <t>Lb</t>
  </si>
  <si>
    <t>Subtotal pasture</t>
  </si>
  <si>
    <t>Bedding and stock supplies</t>
  </si>
  <si>
    <t>Animal health</t>
  </si>
  <si>
    <t>Guard dog replacement and food</t>
  </si>
  <si>
    <t>Milk replacer</t>
  </si>
  <si>
    <t>$ per cwt</t>
  </si>
  <si>
    <t xml:space="preserve">Fed to </t>
  </si>
  <si>
    <t>Fed to</t>
  </si>
  <si>
    <t>Cwt.</t>
  </si>
  <si>
    <t>Total sum</t>
  </si>
  <si>
    <t>1.1. Feed prices.</t>
  </si>
  <si>
    <t>1.3 Farm fuel</t>
  </si>
  <si>
    <t>1.4. Interest rates</t>
  </si>
  <si>
    <t>Table 1. General inputs</t>
  </si>
  <si>
    <t>Head per</t>
  </si>
  <si>
    <t>--</t>
  </si>
  <si>
    <t>Quantity</t>
  </si>
  <si>
    <t>Breeding stock unit</t>
  </si>
  <si>
    <t>Pasture validation check</t>
  </si>
  <si>
    <t>Hd/yr</t>
  </si>
  <si>
    <t>2.4 Stock investment values</t>
  </si>
  <si>
    <t>2.3 Pasture allocation</t>
  </si>
  <si>
    <t>2.5 Enterprise return estimates</t>
  </si>
  <si>
    <t>2.6 Annual stock cost calculations</t>
  </si>
  <si>
    <t>2.2 Enterprise prices*</t>
  </si>
  <si>
    <t>feed category</t>
  </si>
  <si>
    <t>hour</t>
  </si>
  <si>
    <t>Qty.</t>
  </si>
  <si>
    <t>%</t>
  </si>
  <si>
    <t>Table 3. Enterprise feed and labor estimates</t>
  </si>
  <si>
    <t>Labor</t>
  </si>
  <si>
    <t>hours</t>
  </si>
  <si>
    <t>Price check</t>
  </si>
  <si>
    <t>$/tn</t>
  </si>
  <si>
    <t>$/bu</t>
  </si>
  <si>
    <t>Description for this budget:</t>
  </si>
  <si>
    <r>
      <rPr>
        <b/>
        <sz val="11"/>
        <color theme="1"/>
        <rFont val="Calibri Light"/>
        <family val="2"/>
        <scheme val="major"/>
      </rPr>
      <t xml:space="preserve">Seasonal periods    </t>
    </r>
    <r>
      <rPr>
        <sz val="11"/>
        <color theme="1"/>
        <rFont val="Calibri Light"/>
        <family val="2"/>
        <scheme val="major"/>
      </rPr>
      <t xml:space="preserve"> </t>
    </r>
    <r>
      <rPr>
        <i/>
        <sz val="11"/>
        <color theme="1"/>
        <rFont val="Calibri Light"/>
        <family val="2"/>
        <scheme val="major"/>
      </rPr>
      <t>(Enter 'Days in group' first)</t>
    </r>
  </si>
  <si>
    <r>
      <rPr>
        <b/>
        <sz val="11"/>
        <color theme="1"/>
        <rFont val="Calibri Light"/>
        <family val="2"/>
        <scheme val="major"/>
      </rPr>
      <t>Days on pasture for each period</t>
    </r>
    <r>
      <rPr>
        <sz val="11"/>
        <color theme="1"/>
        <rFont val="Calibri Light"/>
        <family val="2"/>
        <scheme val="major"/>
      </rPr>
      <t xml:space="preserve">   </t>
    </r>
    <r>
      <rPr>
        <i/>
        <sz val="11"/>
        <color theme="1"/>
        <rFont val="Calibri Light"/>
        <family val="2"/>
        <scheme val="major"/>
      </rPr>
      <t>(Enter 'days of grazing' second)</t>
    </r>
  </si>
  <si>
    <t>Supplement and mineral fed: Daily lbs per head averaged for each period</t>
  </si>
  <si>
    <t>Open</t>
  </si>
  <si>
    <t>% of sale $</t>
  </si>
  <si>
    <t>Notes for header:</t>
  </si>
  <si>
    <t>Use market value for hay. Budget assumes hay is purchased.</t>
  </si>
  <si>
    <t>Rotary mower, 8 ft.</t>
  </si>
  <si>
    <t>Tractor-loader, 60 Hp MFWD (hr)</t>
  </si>
  <si>
    <t>Rent + grazed forage related costs, e.g. fertilizer, weed control, etc.</t>
  </si>
  <si>
    <t>Jan-Dec</t>
  </si>
  <si>
    <t>Note months of the year</t>
  </si>
  <si>
    <r>
      <t xml:space="preserve">Hay fed: Average daily lbs per head </t>
    </r>
    <r>
      <rPr>
        <sz val="11"/>
        <color theme="1"/>
        <rFont val="Calibri Light"/>
        <family val="2"/>
        <scheme val="major"/>
      </rPr>
      <t>(hay days derived from grazing days)</t>
    </r>
  </si>
  <si>
    <t>pasture acres</t>
  </si>
  <si>
    <t>1.2 Labor rate  (used for all paid and unpaid labor)</t>
  </si>
  <si>
    <t>Diesel fed &amp; state excise tax ~ $0.41/gal</t>
  </si>
  <si>
    <t>Table 2. Budgeted production rates</t>
  </si>
  <si>
    <t>Table 4. Enterprise land and capital investment estimates</t>
  </si>
  <si>
    <t>Mar</t>
  </si>
  <si>
    <t>Property taxes and insurance</t>
  </si>
  <si>
    <t xml:space="preserve">Note: Building and machinery investment for the farm is allocated across multiple enterprises. </t>
  </si>
  <si>
    <t>Opportunity interest on capital investment</t>
  </si>
  <si>
    <t>Line to add optional facility</t>
  </si>
  <si>
    <t>Line to add optional equipment</t>
  </si>
  <si>
    <t>Instructions:</t>
  </si>
  <si>
    <t>Gold shading indicates calculated line-items traceable to the budget output pages.</t>
  </si>
  <si>
    <t>Built-in assumptions:</t>
  </si>
  <si>
    <t xml:space="preserve">2. Number of breeding females is held constant across years and within the year. That is, </t>
  </si>
  <si>
    <t>Table 5. Facilities, machinery and equipment cost estimates</t>
  </si>
  <si>
    <r>
      <t xml:space="preserve">5.1 Building, machinery &amp; equipment </t>
    </r>
    <r>
      <rPr>
        <b/>
        <sz val="11"/>
        <rFont val="Calibri Light"/>
        <family val="2"/>
        <scheme val="major"/>
      </rPr>
      <t>INPUT</t>
    </r>
  </si>
  <si>
    <t>5.1.A. Buildings and facilities</t>
  </si>
  <si>
    <t>5.1.B. Machinery and equipment</t>
  </si>
  <si>
    <r>
      <t xml:space="preserve">5.2. Bldg, mach, equip related costs for </t>
    </r>
    <r>
      <rPr>
        <b/>
        <sz val="11"/>
        <rFont val="Calibri Light"/>
        <family val="2"/>
        <scheme val="major"/>
      </rPr>
      <t>FARM</t>
    </r>
  </si>
  <si>
    <r>
      <t xml:space="preserve">5.3. Bldg, mach, equip related costs for </t>
    </r>
    <r>
      <rPr>
        <b/>
        <sz val="11"/>
        <rFont val="Calibri Light"/>
        <family val="2"/>
        <scheme val="major"/>
      </rPr>
      <t>ENTERPRISE</t>
    </r>
  </si>
  <si>
    <t>5.5 Enterprise land and capital investment</t>
  </si>
  <si>
    <t>Table 4. Other enterprise costs</t>
  </si>
  <si>
    <t>4.1. Health program</t>
  </si>
  <si>
    <t xml:space="preserve">4.2. Other line-item enterprise costs </t>
  </si>
  <si>
    <t>4.4. Labor hours and costs, paid and unpaid</t>
  </si>
  <si>
    <t>Table 3. Feed cost estimates</t>
  </si>
  <si>
    <t>3.1. Daily feed by group</t>
  </si>
  <si>
    <t>3.2 Pasture cost allocation</t>
  </si>
  <si>
    <t>3.3 Enterprise hay and supplement</t>
  </si>
  <si>
    <t>3.4 Internal calculations</t>
  </si>
  <si>
    <t>Kiddings per doe per year</t>
  </si>
  <si>
    <t>Doe numbers, start of breeding season</t>
  </si>
  <si>
    <t>Lactation days per doe, per year</t>
  </si>
  <si>
    <t>% of mature does</t>
  </si>
  <si>
    <t>Cull doe</t>
  </si>
  <si>
    <t>% of exposed does</t>
  </si>
  <si>
    <t>% of bred does</t>
  </si>
  <si>
    <t>$ per doe year</t>
  </si>
  <si>
    <t>Replacement doe value</t>
  </si>
  <si>
    <t>2.7. Breeding stock investment per doe-unit</t>
  </si>
  <si>
    <t>doe</t>
  </si>
  <si>
    <t>Breeding doe market value, young</t>
  </si>
  <si>
    <t>Breeding doe market value, mid age</t>
  </si>
  <si>
    <t>Breeding doe market value, aged</t>
  </si>
  <si>
    <t>Market value of replacement doe</t>
  </si>
  <si>
    <t>per doe</t>
  </si>
  <si>
    <t>Does bred per exposure</t>
  </si>
  <si>
    <t>Doe</t>
  </si>
  <si>
    <t>Computed kid crop born</t>
  </si>
  <si>
    <t>% of kid crop</t>
  </si>
  <si>
    <t>Pasture acres allocated per weaned feeder kid, per year</t>
  </si>
  <si>
    <t>Cull buck</t>
  </si>
  <si>
    <t>Does culled per year</t>
  </si>
  <si>
    <t>Bucks for breeding</t>
  </si>
  <si>
    <t>Buck longevity as breeder</t>
  </si>
  <si>
    <t>Kid death loss, pre-weaning</t>
  </si>
  <si>
    <t>Kid death loss, post-weaning</t>
  </si>
  <si>
    <t>Kiding rate per bred doe</t>
  </si>
  <si>
    <t>Buck</t>
  </si>
  <si>
    <t>Lbs of goat</t>
  </si>
  <si>
    <t>Pasture acres allocated per adult goat, per year</t>
  </si>
  <si>
    <t xml:space="preserve">Kid in Dec-Jan. Sell kids at weaning for early spring holiday markets.  </t>
  </si>
  <si>
    <t>Pasture alloc. for adult goats</t>
  </si>
  <si>
    <t>Purchase value of bucks</t>
  </si>
  <si>
    <t>Bucks</t>
  </si>
  <si>
    <t>(kidding)</t>
  </si>
  <si>
    <t>Age of kids sold from enterprise</t>
  </si>
  <si>
    <t>Days feeder kids fed forage, graze or hay</t>
  </si>
  <si>
    <t>Days derived to feed hay to feeder kids</t>
  </si>
  <si>
    <t>Hay feeding days accounted for feeder kids</t>
  </si>
  <si>
    <t>Kid</t>
  </si>
  <si>
    <t>Kids</t>
  </si>
  <si>
    <t>Est. doe-days grazing</t>
  </si>
  <si>
    <t>Est. pasture cost per doe-day</t>
  </si>
  <si>
    <t>does</t>
  </si>
  <si>
    <t>Total days on farm accounted for does</t>
  </si>
  <si>
    <t>Grazing days accounted for does</t>
  </si>
  <si>
    <t>Days derived to feed hay to does</t>
  </si>
  <si>
    <t>Hay feeding days accounted for does</t>
  </si>
  <si>
    <t>doe Unit</t>
  </si>
  <si>
    <t>kids</t>
  </si>
  <si>
    <t>Subtotal Hay</t>
  </si>
  <si>
    <t>$ per doe</t>
  </si>
  <si>
    <t>bales per doe</t>
  </si>
  <si>
    <t>4.3. Operating loan estimates per doe</t>
  </si>
  <si>
    <t>Doe replacement</t>
  </si>
  <si>
    <t>Doe labor</t>
  </si>
  <si>
    <t>Sum of goat labor</t>
  </si>
  <si>
    <t>Feeder kid labor</t>
  </si>
  <si>
    <t>hrs per kid hd</t>
  </si>
  <si>
    <t>Adult dose</t>
  </si>
  <si>
    <t>Kid dose</t>
  </si>
  <si>
    <t>5.4 Annual capital related costs per doe</t>
  </si>
  <si>
    <t>Buildings for kidding and storage</t>
  </si>
  <si>
    <t>Custom hire</t>
  </si>
  <si>
    <t xml:space="preserve">  1. Wether kids:  </t>
  </si>
  <si>
    <t>Shutdown kid price, all else equal, $ per lb</t>
  </si>
  <si>
    <t>Breakeven kid price, all else equal, $ per lb</t>
  </si>
  <si>
    <t>Hd/doe</t>
  </si>
  <si>
    <t xml:space="preserve">  3. Cull does:  </t>
  </si>
  <si>
    <t>Culled does</t>
  </si>
  <si>
    <t>Kidings per doe per year</t>
  </si>
  <si>
    <t>Kid crop (live birth per exposed)</t>
  </si>
  <si>
    <t>Kid crop (raised to sale weight)</t>
  </si>
  <si>
    <t>Dewormer Privermectin</t>
  </si>
  <si>
    <t>Dewormer Albendazole</t>
  </si>
  <si>
    <t>Dewormer Moxidectin</t>
  </si>
  <si>
    <t>Dewormer Fenbendazole</t>
  </si>
  <si>
    <t>Dewormer Levamisole</t>
  </si>
  <si>
    <t>Other (Table 4.2)</t>
  </si>
  <si>
    <t>Meat Goat Budget for Missouri</t>
  </si>
  <si>
    <t>Developed by Jennifer Lutes</t>
  </si>
  <si>
    <t>lutesjl@missouri.edu</t>
  </si>
  <si>
    <t xml:space="preserve">1. The budget generator assumes one kidding per doe per year. </t>
  </si>
  <si>
    <t xml:space="preserve"> mature does are culled at the same time replacements transfer into the breeding herd.</t>
  </si>
  <si>
    <t>This budget tool will accommodate a breeding meat goat herd, with or without a kid</t>
  </si>
  <si>
    <t>3. Doe kids are bred to first-kid at one year of age.</t>
  </si>
  <si>
    <t>Timber</t>
  </si>
  <si>
    <t xml:space="preserve">Mixed </t>
  </si>
  <si>
    <t>Fescue</t>
  </si>
  <si>
    <t>Jun</t>
  </si>
  <si>
    <t>Jul-Sep</t>
  </si>
  <si>
    <t>Dec-Jan</t>
  </si>
  <si>
    <t>Dec-Mar</t>
  </si>
  <si>
    <t>Mar-Jun</t>
  </si>
  <si>
    <t>Mar-Apr</t>
  </si>
  <si>
    <t>Returns</t>
  </si>
  <si>
    <t>Per doe</t>
  </si>
  <si>
    <t>per enterprise</t>
  </si>
  <si>
    <t>Total costs</t>
  </si>
  <si>
    <t>Return over operating costs</t>
  </si>
  <si>
    <t>Return over total costs</t>
  </si>
  <si>
    <t>Return to labor and management</t>
  </si>
  <si>
    <t>Culled bucks</t>
  </si>
  <si>
    <t>Light kids</t>
  </si>
  <si>
    <t>Heavy kids</t>
  </si>
  <si>
    <t>Buck cost (buck depreciation)</t>
  </si>
  <si>
    <t>Buck cost, breeding supplies</t>
  </si>
  <si>
    <t>Heavy kids (Singles in crop)</t>
  </si>
  <si>
    <t>Light kids (Twins in crop)</t>
  </si>
  <si>
    <t>Calc. weighted avg. kid price, $ per lb</t>
  </si>
  <si>
    <t>* Budgeted returns are weighted based on weaning rate and determined singles or twins</t>
  </si>
  <si>
    <t>Budget prepared for:</t>
  </si>
  <si>
    <t>Early Kidding, Sell at Weaning</t>
  </si>
  <si>
    <t>Nov-Dec</t>
  </si>
  <si>
    <t>Make entries in shaded boxes. Tab or click gray cells to navigate.</t>
  </si>
  <si>
    <t>growout phase. This planning budget is designed for educational use.</t>
  </si>
  <si>
    <r>
      <t xml:space="preserve">Protein supplement </t>
    </r>
    <r>
      <rPr>
        <sz val="8"/>
        <color theme="1"/>
        <rFont val="Calibri Light"/>
        <family val="2"/>
        <scheme val="major"/>
      </rPr>
      <t>(soyhulls, corn gluten &amp; corn)</t>
    </r>
  </si>
  <si>
    <t>Fair</t>
  </si>
  <si>
    <t>Prepared by Jennifer Lutes, Field Specialist in Agriculture Business and Policy</t>
  </si>
  <si>
    <t xml:space="preserve">   The meat goat budget is designed to reflect the economic costs and returns of a 50 doe, winter kidding herd (December and January) with kids marketed between 50 and 60 pounds in April. This management system takes advantage of seasonally high market prices for weaned kids. However, this management system has relatively high production risk due to summer breeding challenges and winter kidding. Farmers can also customize this budget to fit their own operations by using the Missouri Meat Goat Enterprise Tool (https://extension.missouri.edu/media/wysiwyg/Extensiondata/Pro/AgBusinessPolicyExtension/Docs/EarlyKiddingGoatBudget.xlsx). Download the spreadsheet tool to keep an electronic copy of your cost and return estimates for meat goats in Missouri.
https://extensiondata.missouri.edu/Pro/AgBusinessPolicyExtension/Docs/EarlyKiddingGoatBudget.xlsx.</t>
  </si>
  <si>
    <t>Used USDA Missouri Average Cash Rental Rate from 2022 of $35.00 per acre pastureland</t>
  </si>
  <si>
    <t>October 2023</t>
  </si>
  <si>
    <t>Updated Oct 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</si>
</sst>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0.000"/>
    <numFmt numFmtId="168" formatCode="&quot;$&quot;#,##0"/>
    <numFmt numFmtId="169" formatCode="[$$-409]#,##0.00;[Red]\-[$$-409]#,##0.00"/>
    <numFmt numFmtId="170" formatCode=";;;"/>
    <numFmt numFmtId="171" formatCode="0.00;[Red]\-0.00"/>
    <numFmt numFmtId="172" formatCode="&quot;$&quot;#,##0.000"/>
    <numFmt numFmtId="173" formatCode="#,##0.0"/>
    <numFmt numFmtId="174" formatCode="[$$-409]#,##0.00;[Red][$$-409]#,##0.00"/>
    <numFmt numFmtId="175" formatCode="_(* #,##0_);_(* \(#,##0\);_(* &quot;-&quot;??_);_(@_)"/>
    <numFmt numFmtId="176" formatCode="[$$-409]#,##0.00_);[Red]\([$$-409]#,##0.00\)"/>
    <numFmt numFmtId="177" formatCode="&quot;$&quot;#,##0.00000000000"/>
  </numFmts>
  <fonts count="31" x14ac:knownFonts="1">
    <font>
      <sz val="11"/>
      <color theme="1"/>
      <name val="Calibri"/>
      <family val="2"/>
      <scheme val="minor"/>
    </font>
    <font>
      <sz val="11"/>
      <color theme="1"/>
      <name val="Calibri Light"/>
      <family val="2"/>
      <scheme val="major"/>
    </font>
    <font>
      <sz val="10"/>
      <color theme="1"/>
      <name val="Calibri Light"/>
      <family val="2"/>
      <scheme val="major"/>
    </font>
    <font>
      <sz val="11"/>
      <name val="Calibri Light"/>
      <family val="2"/>
      <scheme val="major"/>
    </font>
    <font>
      <b/>
      <sz val="11"/>
      <name val="Calibri Light"/>
      <family val="2"/>
      <scheme val="major"/>
    </font>
    <font>
      <sz val="11"/>
      <color rgb="FFFF0000"/>
      <name val="Calibri Light"/>
      <family val="2"/>
      <scheme val="major"/>
    </font>
    <font>
      <sz val="10"/>
      <name val="Calibri Light"/>
      <family val="2"/>
      <scheme val="major"/>
    </font>
    <font>
      <b/>
      <sz val="10"/>
      <name val="Calibri Light"/>
      <family val="2"/>
      <scheme val="major"/>
    </font>
    <font>
      <b/>
      <sz val="11"/>
      <color theme="1"/>
      <name val="Calibri Light"/>
      <family val="2"/>
      <scheme val="major"/>
    </font>
    <font>
      <i/>
      <sz val="11"/>
      <color theme="1"/>
      <name val="Calibri Light"/>
      <family val="2"/>
      <scheme val="major"/>
    </font>
    <font>
      <sz val="11"/>
      <color theme="4"/>
      <name val="Calibri Light"/>
      <family val="2"/>
      <scheme val="major"/>
    </font>
    <font>
      <sz val="11"/>
      <color indexed="8"/>
      <name val="Calibri Light"/>
      <family val="2"/>
      <scheme val="major"/>
    </font>
    <font>
      <sz val="11"/>
      <color theme="3" tint="0.39997558519241921"/>
      <name val="Calibri Light"/>
      <family val="2"/>
      <scheme val="major"/>
    </font>
    <font>
      <sz val="11"/>
      <color indexed="12"/>
      <name val="Calibri Light"/>
      <family val="2"/>
      <scheme val="major"/>
    </font>
    <font>
      <i/>
      <sz val="11"/>
      <name val="Calibri Light"/>
      <family val="2"/>
      <scheme val="major"/>
    </font>
    <font>
      <sz val="11"/>
      <color rgb="FFC00000"/>
      <name val="Calibri Light"/>
      <family val="2"/>
      <scheme val="major"/>
    </font>
    <font>
      <sz val="11"/>
      <color theme="8" tint="0.39997558519241921"/>
      <name val="Calibri Light"/>
      <family val="2"/>
      <scheme val="major"/>
    </font>
    <font>
      <i/>
      <sz val="11"/>
      <color theme="8" tint="0.39997558519241921"/>
      <name val="Calibri Light"/>
      <family val="2"/>
      <scheme val="major"/>
    </font>
    <font>
      <sz val="9"/>
      <color theme="1"/>
      <name val="Calibri Light"/>
      <family val="2"/>
      <scheme val="major"/>
    </font>
    <font>
      <i/>
      <sz val="10"/>
      <color theme="1"/>
      <name val="Calibri Light"/>
      <family val="2"/>
      <scheme val="major"/>
    </font>
    <font>
      <sz val="11"/>
      <color theme="4" tint="-0.249977111117893"/>
      <name val="Calibri Light"/>
      <family val="2"/>
      <scheme val="major"/>
    </font>
    <font>
      <sz val="12"/>
      <color theme="1"/>
      <name val="Garamond"/>
      <family val="1"/>
    </font>
    <font>
      <u/>
      <sz val="11"/>
      <color theme="10"/>
      <name val="Calibri"/>
      <family val="2"/>
      <scheme val="minor"/>
    </font>
    <font>
      <b/>
      <sz val="11"/>
      <color theme="7" tint="0.39997558519241921"/>
      <name val="Calibri"/>
      <family val="2"/>
      <scheme val="minor"/>
    </font>
    <font>
      <sz val="11"/>
      <color theme="1"/>
      <name val="Calibri"/>
      <family val="2"/>
      <scheme val="minor"/>
    </font>
    <font>
      <b/>
      <sz val="14"/>
      <color theme="1"/>
      <name val="Calibri Light"/>
      <family val="2"/>
      <scheme val="major"/>
    </font>
    <font>
      <b/>
      <sz val="14"/>
      <name val="Calibri Light"/>
      <family val="2"/>
      <scheme val="major"/>
    </font>
    <font>
      <b/>
      <sz val="12"/>
      <color theme="7" tint="0.39997558519241921"/>
      <name val="Calibri"/>
      <family val="2"/>
      <scheme val="minor"/>
    </font>
    <font>
      <sz val="12"/>
      <color theme="1"/>
      <name val="Calibri"/>
      <family val="2"/>
      <scheme val="minor"/>
    </font>
    <font>
      <b/>
      <sz val="12"/>
      <color theme="1"/>
      <name val="Calibri"/>
      <family val="2"/>
      <scheme val="minor"/>
    </font>
    <font>
      <sz val="8"/>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E6A564"/>
        <bgColor indexed="64"/>
      </patternFill>
    </fill>
    <fill>
      <patternFill patternType="solid">
        <fgColor theme="2"/>
        <bgColor indexed="64"/>
      </patternFill>
    </fill>
    <fill>
      <patternFill patternType="solid">
        <fgColor theme="9" tint="0.59999389629810485"/>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
      <left/>
      <right/>
      <top/>
      <bottom style="double">
        <color indexed="64"/>
      </bottom>
      <diagonal/>
    </border>
    <border>
      <left/>
      <right/>
      <top style="dotted">
        <color auto="1"/>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style="thin">
        <color indexed="64"/>
      </left>
      <right style="thin">
        <color indexed="64"/>
      </right>
      <top/>
      <bottom/>
      <diagonal/>
    </border>
    <border>
      <left/>
      <right/>
      <top/>
      <bottom style="dashDotDot">
        <color auto="1"/>
      </bottom>
      <diagonal/>
    </border>
    <border>
      <left/>
      <right/>
      <top style="dotted">
        <color indexed="64"/>
      </top>
      <bottom style="dashDotDot">
        <color indexed="64"/>
      </bottom>
      <diagonal/>
    </border>
    <border>
      <left style="thin">
        <color indexed="64"/>
      </left>
      <right/>
      <top/>
      <bottom/>
      <diagonal/>
    </border>
    <border>
      <left/>
      <right/>
      <top/>
      <bottom style="thin">
        <color theme="4"/>
      </bottom>
      <diagonal/>
    </border>
    <border>
      <left/>
      <right/>
      <top style="thin">
        <color theme="4"/>
      </top>
      <bottom/>
      <diagonal/>
    </border>
    <border>
      <left style="thin">
        <color indexed="64"/>
      </left>
      <right style="thin">
        <color indexed="64"/>
      </right>
      <top style="thin">
        <color indexed="64"/>
      </top>
      <bottom style="dashDotDot">
        <color auto="1"/>
      </bottom>
      <diagonal/>
    </border>
    <border>
      <left/>
      <right/>
      <top style="dashDotDot">
        <color indexed="64"/>
      </top>
      <bottom style="thin">
        <color indexed="64"/>
      </bottom>
      <diagonal/>
    </border>
    <border>
      <left/>
      <right style="thin">
        <color indexed="64"/>
      </right>
      <top style="thin">
        <color indexed="64"/>
      </top>
      <bottom style="dashDotDot">
        <color auto="1"/>
      </bottom>
      <diagonal/>
    </border>
    <border>
      <left/>
      <right/>
      <top style="dotted">
        <color theme="4"/>
      </top>
      <bottom style="thin">
        <color theme="4"/>
      </bottom>
      <diagonal/>
    </border>
  </borders>
  <cellStyleXfs count="5">
    <xf numFmtId="0" fontId="0" fillId="0" borderId="0"/>
    <xf numFmtId="0" fontId="22" fillId="0" borderId="0" applyNumberForma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cellStyleXfs>
  <cellXfs count="469">
    <xf numFmtId="0" fontId="0" fillId="0" borderId="0" xfId="0"/>
    <xf numFmtId="0" fontId="1" fillId="0" borderId="0" xfId="0" applyFont="1"/>
    <xf numFmtId="0" fontId="1" fillId="0" borderId="0" xfId="0" applyFont="1" applyAlignment="1">
      <alignment horizontal="right"/>
    </xf>
    <xf numFmtId="0" fontId="1" fillId="2" borderId="0" xfId="0" applyFont="1" applyFill="1"/>
    <xf numFmtId="0" fontId="1" fillId="2" borderId="2" xfId="0" applyFont="1" applyFill="1" applyBorder="1"/>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0" xfId="0" applyFont="1" applyFill="1" applyAlignment="1">
      <alignment horizontal="right"/>
    </xf>
    <xf numFmtId="4" fontId="1" fillId="0" borderId="0" xfId="0" applyNumberFormat="1" applyFont="1"/>
    <xf numFmtId="0" fontId="1" fillId="2" borderId="16" xfId="0" applyFont="1" applyFill="1" applyBorder="1"/>
    <xf numFmtId="0" fontId="1" fillId="2" borderId="5" xfId="0" applyFont="1" applyFill="1" applyBorder="1"/>
    <xf numFmtId="0" fontId="1" fillId="2" borderId="4" xfId="0" applyFont="1" applyFill="1" applyBorder="1"/>
    <xf numFmtId="0" fontId="1" fillId="2" borderId="7" xfId="0" applyFont="1" applyFill="1" applyBorder="1" applyAlignment="1">
      <alignment horizontal="right"/>
    </xf>
    <xf numFmtId="0" fontId="1" fillId="0" borderId="2" xfId="0" applyFont="1" applyBorder="1"/>
    <xf numFmtId="0" fontId="8" fillId="0" borderId="2" xfId="0" applyFont="1" applyBorder="1"/>
    <xf numFmtId="0" fontId="1" fillId="0" borderId="2" xfId="0" applyFont="1" applyBorder="1" applyAlignment="1">
      <alignment horizontal="right"/>
    </xf>
    <xf numFmtId="0" fontId="8" fillId="0" borderId="4" xfId="0" applyFont="1" applyBorder="1"/>
    <xf numFmtId="0" fontId="1" fillId="0" borderId="4" xfId="0" applyFont="1" applyBorder="1"/>
    <xf numFmtId="0" fontId="1" fillId="0" borderId="4" xfId="0" applyFont="1" applyBorder="1" applyAlignment="1">
      <alignment horizontal="right"/>
    </xf>
    <xf numFmtId="0" fontId="1" fillId="0" borderId="0" xfId="0" applyFont="1" applyAlignment="1">
      <alignment horizontal="center"/>
    </xf>
    <xf numFmtId="1" fontId="1" fillId="0" borderId="0" xfId="0" applyNumberFormat="1" applyFont="1" applyAlignment="1">
      <alignment horizontal="right"/>
    </xf>
    <xf numFmtId="1" fontId="1" fillId="0" borderId="0" xfId="0" applyNumberFormat="1" applyFont="1"/>
    <xf numFmtId="0" fontId="3" fillId="0" borderId="0" xfId="0" applyFont="1"/>
    <xf numFmtId="0" fontId="1" fillId="0" borderId="0" xfId="0" applyFont="1" applyAlignment="1">
      <alignment horizontal="left" indent="1"/>
    </xf>
    <xf numFmtId="0" fontId="1" fillId="0" borderId="19" xfId="0" applyFont="1" applyBorder="1"/>
    <xf numFmtId="0" fontId="1" fillId="0" borderId="2" xfId="0" applyFont="1" applyBorder="1" applyAlignment="1">
      <alignment horizontal="left" indent="1"/>
    </xf>
    <xf numFmtId="0" fontId="10" fillId="0" borderId="2" xfId="0" applyFont="1" applyBorder="1" applyAlignment="1">
      <alignment horizontal="left" indent="1"/>
    </xf>
    <xf numFmtId="0" fontId="10" fillId="0" borderId="2" xfId="0" applyFont="1" applyBorder="1" applyAlignment="1">
      <alignment horizontal="center"/>
    </xf>
    <xf numFmtId="0" fontId="10" fillId="0" borderId="2" xfId="0" applyFont="1" applyBorder="1" applyAlignment="1">
      <alignment horizontal="right"/>
    </xf>
    <xf numFmtId="0" fontId="10" fillId="0" borderId="0" xfId="0" applyFont="1"/>
    <xf numFmtId="0" fontId="10" fillId="2" borderId="3" xfId="0" applyFont="1" applyFill="1" applyBorder="1" applyAlignment="1">
      <alignment horizontal="left"/>
    </xf>
    <xf numFmtId="0" fontId="10" fillId="2" borderId="3" xfId="0" applyFont="1" applyFill="1" applyBorder="1" applyAlignment="1">
      <alignment horizontal="right"/>
    </xf>
    <xf numFmtId="0" fontId="10" fillId="2" borderId="4" xfId="0" applyFont="1" applyFill="1" applyBorder="1" applyAlignment="1">
      <alignment horizontal="right"/>
    </xf>
    <xf numFmtId="2" fontId="1" fillId="0" borderId="0" xfId="0" applyNumberFormat="1" applyFont="1"/>
    <xf numFmtId="166" fontId="1" fillId="0" borderId="0" xfId="0" applyNumberFormat="1" applyFont="1"/>
    <xf numFmtId="2" fontId="1" fillId="0" borderId="19" xfId="0" applyNumberFormat="1" applyFont="1" applyBorder="1"/>
    <xf numFmtId="166" fontId="1" fillId="0" borderId="19" xfId="0" applyNumberFormat="1" applyFont="1" applyBorder="1"/>
    <xf numFmtId="0" fontId="10" fillId="2" borderId="0" xfId="0" applyFont="1" applyFill="1" applyAlignment="1">
      <alignment horizontal="left" indent="1"/>
    </xf>
    <xf numFmtId="0" fontId="10" fillId="2" borderId="0" xfId="0" applyFont="1" applyFill="1"/>
    <xf numFmtId="0" fontId="10" fillId="2" borderId="0" xfId="0" applyFont="1" applyFill="1" applyAlignment="1">
      <alignment horizontal="right"/>
    </xf>
    <xf numFmtId="0" fontId="10" fillId="2" borderId="2" xfId="0" applyFont="1" applyFill="1" applyBorder="1" applyAlignment="1">
      <alignment horizontal="left" indent="1"/>
    </xf>
    <xf numFmtId="0" fontId="10" fillId="2" borderId="2" xfId="0" applyFont="1" applyFill="1" applyBorder="1" applyAlignment="1">
      <alignment horizontal="right"/>
    </xf>
    <xf numFmtId="3" fontId="3" fillId="2" borderId="4" xfId="0" applyNumberFormat="1" applyFont="1" applyFill="1" applyBorder="1"/>
    <xf numFmtId="172" fontId="1" fillId="2" borderId="2" xfId="0" applyNumberFormat="1" applyFont="1" applyFill="1" applyBorder="1"/>
    <xf numFmtId="0" fontId="5" fillId="0" borderId="0" xfId="0" applyFont="1"/>
    <xf numFmtId="0" fontId="1" fillId="3" borderId="1" xfId="0" applyFont="1" applyFill="1" applyBorder="1" applyProtection="1">
      <protection locked="0"/>
    </xf>
    <xf numFmtId="0" fontId="10" fillId="0" borderId="2" xfId="0" applyFont="1" applyBorder="1"/>
    <xf numFmtId="1" fontId="10" fillId="0" borderId="0" xfId="0" applyNumberFormat="1" applyFont="1"/>
    <xf numFmtId="0" fontId="1" fillId="2" borderId="0" xfId="0" applyFont="1" applyFill="1" applyAlignment="1">
      <alignment horizontal="center"/>
    </xf>
    <xf numFmtId="0" fontId="1" fillId="2" borderId="2" xfId="0" applyFont="1" applyFill="1" applyBorder="1" applyAlignment="1">
      <alignment horizontal="left"/>
    </xf>
    <xf numFmtId="0" fontId="1" fillId="2" borderId="2" xfId="0" applyFont="1" applyFill="1" applyBorder="1" applyAlignment="1">
      <alignment horizontal="center"/>
    </xf>
    <xf numFmtId="0" fontId="3" fillId="3" borderId="5" xfId="0" applyFont="1" applyFill="1" applyBorder="1" applyAlignment="1" applyProtection="1">
      <alignment horizontal="left" indent="1"/>
      <protection locked="0"/>
    </xf>
    <xf numFmtId="10" fontId="1" fillId="2" borderId="0" xfId="0" applyNumberFormat="1" applyFont="1" applyFill="1"/>
    <xf numFmtId="164" fontId="3" fillId="3" borderId="1" xfId="0" applyNumberFormat="1" applyFont="1" applyFill="1" applyBorder="1" applyProtection="1">
      <protection locked="0"/>
    </xf>
    <xf numFmtId="0" fontId="3" fillId="3" borderId="1" xfId="0" applyFont="1" applyFill="1" applyBorder="1" applyAlignment="1" applyProtection="1">
      <alignment horizontal="left" indent="1"/>
      <protection locked="0"/>
    </xf>
    <xf numFmtId="9" fontId="1" fillId="3" borderId="1" xfId="0" applyNumberFormat="1" applyFont="1" applyFill="1" applyBorder="1" applyAlignment="1" applyProtection="1">
      <alignment horizontal="center"/>
      <protection locked="0"/>
    </xf>
    <xf numFmtId="0" fontId="1" fillId="3" borderId="1" xfId="0" applyFont="1" applyFill="1" applyBorder="1" applyAlignment="1" applyProtection="1">
      <alignment horizontal="left" indent="1"/>
      <protection locked="0"/>
    </xf>
    <xf numFmtId="0" fontId="1" fillId="0" borderId="2" xfId="0" applyFont="1" applyBorder="1" applyAlignment="1">
      <alignment horizontal="center"/>
    </xf>
    <xf numFmtId="0" fontId="3" fillId="2" borderId="3" xfId="0" applyFont="1" applyFill="1" applyBorder="1"/>
    <xf numFmtId="0" fontId="1" fillId="0" borderId="3" xfId="0" applyFont="1" applyBorder="1" applyAlignment="1">
      <alignment horizontal="left" indent="1"/>
    </xf>
    <xf numFmtId="0" fontId="1" fillId="0" borderId="3" xfId="0" applyFont="1" applyBorder="1" applyAlignment="1">
      <alignment horizontal="center"/>
    </xf>
    <xf numFmtId="0" fontId="1" fillId="0" borderId="4" xfId="0" applyFont="1" applyBorder="1" applyAlignment="1">
      <alignment horizontal="left" indent="1"/>
    </xf>
    <xf numFmtId="0" fontId="1" fillId="0" borderId="4" xfId="0" applyFont="1" applyBorder="1" applyAlignment="1">
      <alignment horizontal="center"/>
    </xf>
    <xf numFmtId="0" fontId="1" fillId="0" borderId="9"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11" fillId="0" borderId="3" xfId="0" applyFont="1" applyBorder="1"/>
    <xf numFmtId="165" fontId="3" fillId="3" borderId="1" xfId="0" applyNumberFormat="1" applyFont="1" applyFill="1" applyBorder="1" applyProtection="1">
      <protection locked="0"/>
    </xf>
    <xf numFmtId="2" fontId="3" fillId="3" borderId="1" xfId="0" applyNumberFormat="1" applyFont="1" applyFill="1" applyBorder="1" applyProtection="1">
      <protection locked="0"/>
    </xf>
    <xf numFmtId="0" fontId="8" fillId="0" borderId="0" xfId="0" applyFont="1" applyAlignment="1">
      <alignment horizontal="right"/>
    </xf>
    <xf numFmtId="1" fontId="3" fillId="3" borderId="1" xfId="0" applyNumberFormat="1" applyFont="1" applyFill="1" applyBorder="1" applyProtection="1">
      <protection locked="0"/>
    </xf>
    <xf numFmtId="166" fontId="3" fillId="3" borderId="1" xfId="0" applyNumberFormat="1" applyFont="1" applyFill="1" applyBorder="1" applyProtection="1">
      <protection locked="0"/>
    </xf>
    <xf numFmtId="165" fontId="3" fillId="3" borderId="16" xfId="0" applyNumberFormat="1" applyFont="1" applyFill="1" applyBorder="1" applyProtection="1">
      <protection locked="0"/>
    </xf>
    <xf numFmtId="0" fontId="3" fillId="2" borderId="2" xfId="0" applyFont="1" applyFill="1" applyBorder="1" applyAlignment="1">
      <alignment horizontal="right"/>
    </xf>
    <xf numFmtId="0" fontId="3" fillId="3" borderId="1" xfId="0" applyFont="1" applyFill="1" applyBorder="1" applyAlignment="1" applyProtection="1">
      <alignment horizontal="right"/>
      <protection locked="0"/>
    </xf>
    <xf numFmtId="164" fontId="3" fillId="3" borderId="1" xfId="0" applyNumberFormat="1" applyFont="1" applyFill="1" applyBorder="1" applyAlignment="1" applyProtection="1">
      <alignment horizontal="right"/>
      <protection locked="0"/>
    </xf>
    <xf numFmtId="164" fontId="1" fillId="0" borderId="0" xfId="0" applyNumberFormat="1" applyFont="1"/>
    <xf numFmtId="165" fontId="1" fillId="0" borderId="0" xfId="0" applyNumberFormat="1" applyFont="1" applyAlignment="1">
      <alignment horizontal="right"/>
    </xf>
    <xf numFmtId="164" fontId="1" fillId="4" borderId="0" xfId="0" applyNumberFormat="1" applyFont="1" applyFill="1"/>
    <xf numFmtId="0" fontId="1" fillId="0" borderId="2" xfId="0" applyFont="1" applyBorder="1" applyAlignment="1">
      <alignment horizontal="left" indent="2"/>
    </xf>
    <xf numFmtId="164" fontId="1" fillId="0" borderId="2" xfId="0" applyNumberFormat="1" applyFont="1" applyBorder="1"/>
    <xf numFmtId="2" fontId="1" fillId="0" borderId="0" xfId="0" applyNumberFormat="1" applyFont="1" applyAlignment="1">
      <alignment horizontal="left" indent="1"/>
    </xf>
    <xf numFmtId="2" fontId="1" fillId="4" borderId="0" xfId="0" applyNumberFormat="1" applyFont="1" applyFill="1" applyAlignment="1">
      <alignment horizontal="right"/>
    </xf>
    <xf numFmtId="2" fontId="1" fillId="0" borderId="2" xfId="0" applyNumberFormat="1" applyFont="1" applyBorder="1" applyAlignment="1">
      <alignment horizontal="left" indent="1"/>
    </xf>
    <xf numFmtId="2" fontId="1" fillId="4" borderId="2" xfId="0" applyNumberFormat="1" applyFont="1" applyFill="1" applyBorder="1"/>
    <xf numFmtId="9" fontId="11" fillId="0" borderId="0" xfId="0" applyNumberFormat="1" applyFont="1"/>
    <xf numFmtId="0" fontId="11" fillId="0" borderId="0" xfId="0" applyFont="1"/>
    <xf numFmtId="0" fontId="12" fillId="0" borderId="0" xfId="0" applyFont="1"/>
    <xf numFmtId="164" fontId="3" fillId="0" borderId="0" xfId="0" applyNumberFormat="1" applyFont="1"/>
    <xf numFmtId="9" fontId="10" fillId="0" borderId="0" xfId="0" applyNumberFormat="1" applyFont="1"/>
    <xf numFmtId="3" fontId="3" fillId="0" borderId="0" xfId="0" applyNumberFormat="1" applyFont="1"/>
    <xf numFmtId="165" fontId="10" fillId="0" borderId="0" xfId="0" applyNumberFormat="1" applyFont="1"/>
    <xf numFmtId="0" fontId="1" fillId="2" borderId="4" xfId="0" applyFont="1" applyFill="1" applyBorder="1" applyAlignment="1">
      <alignment horizontal="center"/>
    </xf>
    <xf numFmtId="2" fontId="1" fillId="4" borderId="0" xfId="0" applyNumberFormat="1" applyFont="1" applyFill="1"/>
    <xf numFmtId="0" fontId="1" fillId="0" borderId="9" xfId="0" applyFont="1" applyBorder="1"/>
    <xf numFmtId="2" fontId="3" fillId="4" borderId="0" xfId="0" applyNumberFormat="1" applyFont="1" applyFill="1"/>
    <xf numFmtId="0" fontId="1" fillId="2" borderId="7" xfId="0" applyFont="1" applyFill="1" applyBorder="1" applyAlignment="1">
      <alignment horizontal="center"/>
    </xf>
    <xf numFmtId="0" fontId="1" fillId="0" borderId="10" xfId="0" applyFont="1" applyBorder="1" applyAlignment="1">
      <alignment horizontal="center"/>
    </xf>
    <xf numFmtId="0" fontId="1" fillId="0" borderId="6" xfId="0" applyFont="1" applyBorder="1"/>
    <xf numFmtId="2" fontId="1" fillId="0" borderId="6" xfId="0" applyNumberFormat="1" applyFont="1" applyBorder="1"/>
    <xf numFmtId="164" fontId="1" fillId="4" borderId="2" xfId="0" applyNumberFormat="1" applyFont="1" applyFill="1" applyBorder="1"/>
    <xf numFmtId="1" fontId="1" fillId="0" borderId="2" xfId="0" applyNumberFormat="1" applyFont="1" applyBorder="1"/>
    <xf numFmtId="0" fontId="1" fillId="0" borderId="0" xfId="0" applyFont="1" applyAlignment="1">
      <alignment horizontal="left" indent="2"/>
    </xf>
    <xf numFmtId="8" fontId="1" fillId="4" borderId="2" xfId="0" applyNumberFormat="1" applyFont="1" applyFill="1" applyBorder="1"/>
    <xf numFmtId="0" fontId="1" fillId="0" borderId="18" xfId="0" applyFont="1" applyBorder="1"/>
    <xf numFmtId="0" fontId="10" fillId="0" borderId="0" xfId="0" applyFont="1" applyAlignment="1">
      <alignment horizontal="left" indent="1"/>
    </xf>
    <xf numFmtId="0" fontId="10" fillId="0" borderId="0" xfId="0" applyFont="1" applyAlignment="1">
      <alignment horizontal="center"/>
    </xf>
    <xf numFmtId="0" fontId="10" fillId="0" borderId="0" xfId="0" applyFont="1" applyAlignment="1">
      <alignment horizontal="right"/>
    </xf>
    <xf numFmtId="0" fontId="1" fillId="0" borderId="15" xfId="0" applyFont="1" applyBorder="1" applyAlignment="1">
      <alignment horizontal="center"/>
    </xf>
    <xf numFmtId="0" fontId="1" fillId="0" borderId="5" xfId="0" applyFont="1" applyBorder="1"/>
    <xf numFmtId="0" fontId="1" fillId="0" borderId="0" xfId="0" applyFont="1" applyAlignment="1">
      <alignment horizontal="left" indent="3"/>
    </xf>
    <xf numFmtId="0" fontId="1" fillId="0" borderId="0" xfId="0" applyFont="1" applyAlignment="1">
      <alignment horizontal="left" indent="4"/>
    </xf>
    <xf numFmtId="167" fontId="1" fillId="0" borderId="0" xfId="0" applyNumberFormat="1" applyFont="1"/>
    <xf numFmtId="0" fontId="1" fillId="2" borderId="18" xfId="0" applyFont="1" applyFill="1" applyBorder="1" applyAlignment="1">
      <alignment horizontal="right"/>
    </xf>
    <xf numFmtId="0" fontId="1" fillId="0" borderId="21" xfId="0" applyFont="1" applyBorder="1"/>
    <xf numFmtId="0" fontId="1" fillId="2" borderId="5" xfId="0" applyFont="1" applyFill="1" applyBorder="1" applyAlignment="1">
      <alignment horizontal="right"/>
    </xf>
    <xf numFmtId="0" fontId="9" fillId="0" borderId="0" xfId="0" applyFont="1" applyAlignment="1">
      <alignment horizontal="left"/>
    </xf>
    <xf numFmtId="0" fontId="9" fillId="0" borderId="0" xfId="0" applyFont="1" applyAlignment="1">
      <alignment horizontal="center"/>
    </xf>
    <xf numFmtId="0" fontId="9" fillId="0" borderId="0" xfId="0" applyFont="1"/>
    <xf numFmtId="0" fontId="15" fillId="0" borderId="0" xfId="0" applyFont="1"/>
    <xf numFmtId="173" fontId="15" fillId="0" borderId="0" xfId="0" applyNumberFormat="1" applyFont="1"/>
    <xf numFmtId="0" fontId="15" fillId="0" borderId="0" xfId="0" applyFont="1" applyAlignment="1">
      <alignment horizontal="left" indent="2"/>
    </xf>
    <xf numFmtId="2" fontId="1" fillId="0" borderId="1" xfId="0" applyNumberFormat="1" applyFont="1" applyBorder="1"/>
    <xf numFmtId="0" fontId="1" fillId="2" borderId="13" xfId="0" applyFont="1" applyFill="1" applyBorder="1" applyAlignment="1">
      <alignment horizontal="right"/>
    </xf>
    <xf numFmtId="0" fontId="1" fillId="2" borderId="3" xfId="0" applyFont="1" applyFill="1" applyBorder="1" applyAlignment="1">
      <alignment horizontal="right"/>
    </xf>
    <xf numFmtId="0" fontId="1" fillId="2" borderId="14" xfId="0" applyFont="1" applyFill="1" applyBorder="1" applyAlignment="1">
      <alignment horizontal="right"/>
    </xf>
    <xf numFmtId="2" fontId="3" fillId="0" borderId="0" xfId="0" applyNumberFormat="1" applyFont="1"/>
    <xf numFmtId="173" fontId="3" fillId="0" borderId="0" xfId="0" applyNumberFormat="1" applyFont="1"/>
    <xf numFmtId="2" fontId="3" fillId="0" borderId="0" xfId="0" applyNumberFormat="1" applyFont="1" applyAlignment="1">
      <alignment horizontal="right"/>
    </xf>
    <xf numFmtId="0" fontId="3" fillId="0" borderId="19" xfId="0" applyFont="1" applyBorder="1"/>
    <xf numFmtId="2" fontId="3" fillId="0" borderId="19" xfId="0" applyNumberFormat="1" applyFont="1" applyBorder="1"/>
    <xf numFmtId="173" fontId="3" fillId="0" borderId="19" xfId="0" applyNumberFormat="1" applyFont="1" applyBorder="1"/>
    <xf numFmtId="2" fontId="3" fillId="0" borderId="19" xfId="0" applyNumberFormat="1" applyFont="1" applyBorder="1" applyAlignment="1">
      <alignment horizontal="right"/>
    </xf>
    <xf numFmtId="0" fontId="3" fillId="0" borderId="0" xfId="0" applyFont="1" applyAlignment="1">
      <alignment horizontal="left" indent="3"/>
    </xf>
    <xf numFmtId="2" fontId="1" fillId="0" borderId="0" xfId="0" applyNumberFormat="1" applyFont="1" applyAlignment="1">
      <alignment horizontal="right"/>
    </xf>
    <xf numFmtId="2" fontId="1" fillId="0" borderId="4" xfId="0" applyNumberFormat="1" applyFont="1" applyBorder="1" applyAlignment="1">
      <alignment horizontal="right"/>
    </xf>
    <xf numFmtId="167" fontId="1" fillId="0" borderId="4" xfId="0" applyNumberFormat="1" applyFont="1" applyBorder="1" applyAlignment="1">
      <alignment horizontal="right"/>
    </xf>
    <xf numFmtId="3" fontId="3" fillId="0" borderId="19" xfId="0" applyNumberFormat="1" applyFont="1" applyBorder="1"/>
    <xf numFmtId="3" fontId="1" fillId="0" borderId="0" xfId="0" applyNumberFormat="1" applyFont="1"/>
    <xf numFmtId="173" fontId="3" fillId="4" borderId="0" xfId="0" applyNumberFormat="1" applyFont="1" applyFill="1"/>
    <xf numFmtId="166" fontId="3" fillId="0" borderId="0" xfId="0" applyNumberFormat="1" applyFont="1"/>
    <xf numFmtId="166" fontId="3" fillId="0" borderId="0" xfId="0" applyNumberFormat="1" applyFont="1" applyAlignment="1">
      <alignment horizontal="right"/>
    </xf>
    <xf numFmtId="1" fontId="3" fillId="0" borderId="0" xfId="0" applyNumberFormat="1" applyFont="1" applyAlignment="1">
      <alignment horizontal="right"/>
    </xf>
    <xf numFmtId="2" fontId="3" fillId="4" borderId="0" xfId="0" applyNumberFormat="1" applyFont="1" applyFill="1" applyAlignment="1">
      <alignment horizontal="right"/>
    </xf>
    <xf numFmtId="173" fontId="3" fillId="0" borderId="2" xfId="0" applyNumberFormat="1" applyFont="1" applyBorder="1"/>
    <xf numFmtId="4" fontId="3" fillId="0" borderId="2" xfId="0" applyNumberFormat="1" applyFont="1" applyBorder="1"/>
    <xf numFmtId="172" fontId="1" fillId="0" borderId="0" xfId="0" applyNumberFormat="1" applyFont="1" applyAlignment="1">
      <alignment horizontal="right"/>
    </xf>
    <xf numFmtId="0" fontId="1" fillId="3" borderId="5" xfId="0" applyFont="1" applyFill="1" applyBorder="1" applyProtection="1">
      <protection locked="0"/>
    </xf>
    <xf numFmtId="0" fontId="1" fillId="0" borderId="19" xfId="0" applyFont="1" applyBorder="1" applyAlignment="1">
      <alignment horizontal="left" indent="1"/>
    </xf>
    <xf numFmtId="164" fontId="1" fillId="0" borderId="19" xfId="0" applyNumberFormat="1" applyFont="1" applyBorder="1"/>
    <xf numFmtId="166" fontId="10" fillId="0" borderId="0" xfId="0" applyNumberFormat="1" applyFont="1"/>
    <xf numFmtId="0" fontId="1" fillId="2" borderId="8" xfId="0" applyFont="1" applyFill="1" applyBorder="1" applyAlignment="1">
      <alignment horizontal="left"/>
    </xf>
    <xf numFmtId="0" fontId="1" fillId="0" borderId="9" xfId="0" applyFont="1" applyBorder="1" applyAlignment="1">
      <alignment horizontal="left"/>
    </xf>
    <xf numFmtId="168" fontId="3" fillId="3" borderId="1" xfId="0" applyNumberFormat="1" applyFont="1" applyFill="1" applyBorder="1" applyProtection="1">
      <protection locked="0"/>
    </xf>
    <xf numFmtId="0" fontId="16" fillId="2" borderId="0" xfId="0" applyFont="1" applyFill="1"/>
    <xf numFmtId="164" fontId="1" fillId="4" borderId="2" xfId="0" applyNumberFormat="1" applyFont="1" applyFill="1" applyBorder="1" applyAlignment="1">
      <alignment horizontal="right"/>
    </xf>
    <xf numFmtId="0" fontId="10" fillId="2" borderId="0" xfId="0" applyFont="1" applyFill="1" applyAlignment="1">
      <alignment horizontal="left"/>
    </xf>
    <xf numFmtId="0" fontId="16" fillId="2" borderId="2" xfId="0" applyFont="1" applyFill="1" applyBorder="1"/>
    <xf numFmtId="164" fontId="3" fillId="4" borderId="2" xfId="0" applyNumberFormat="1" applyFont="1" applyFill="1" applyBorder="1"/>
    <xf numFmtId="0" fontId="3" fillId="0" borderId="2" xfId="0" applyFont="1" applyBorder="1" applyAlignment="1">
      <alignment horizontal="left" indent="3"/>
    </xf>
    <xf numFmtId="172" fontId="1" fillId="0" borderId="2" xfId="0" applyNumberFormat="1" applyFont="1" applyBorder="1" applyAlignment="1">
      <alignment horizontal="right"/>
    </xf>
    <xf numFmtId="9" fontId="3" fillId="0" borderId="3" xfId="0" applyNumberFormat="1" applyFont="1" applyBorder="1"/>
    <xf numFmtId="0" fontId="4" fillId="0" borderId="2" xfId="0" applyFont="1" applyBorder="1"/>
    <xf numFmtId="0" fontId="6" fillId="0" borderId="2" xfId="0" applyFont="1" applyBorder="1" applyAlignment="1">
      <alignment horizontal="right"/>
    </xf>
    <xf numFmtId="165" fontId="13" fillId="0" borderId="0" xfId="0" applyNumberFormat="1" applyFont="1"/>
    <xf numFmtId="0" fontId="3" fillId="2" borderId="2" xfId="0" applyFont="1" applyFill="1" applyBorder="1"/>
    <xf numFmtId="0" fontId="3" fillId="2" borderId="2" xfId="0" applyFont="1" applyFill="1" applyBorder="1" applyAlignment="1">
      <alignment horizontal="left"/>
    </xf>
    <xf numFmtId="0" fontId="3" fillId="2" borderId="0" xfId="0" applyFont="1" applyFill="1"/>
    <xf numFmtId="0" fontId="3" fillId="2" borderId="16" xfId="0" applyFont="1" applyFill="1" applyBorder="1"/>
    <xf numFmtId="167" fontId="3" fillId="2" borderId="16" xfId="0" applyNumberFormat="1" applyFont="1" applyFill="1" applyBorder="1"/>
    <xf numFmtId="0" fontId="3" fillId="2" borderId="8" xfId="0" applyFont="1" applyFill="1" applyBorder="1"/>
    <xf numFmtId="0" fontId="3" fillId="2" borderId="18" xfId="0" applyFont="1" applyFill="1" applyBorder="1"/>
    <xf numFmtId="167" fontId="3" fillId="2" borderId="18" xfId="0" applyNumberFormat="1" applyFont="1" applyFill="1" applyBorder="1"/>
    <xf numFmtId="0" fontId="3" fillId="2" borderId="9" xfId="0" applyFont="1" applyFill="1" applyBorder="1"/>
    <xf numFmtId="0" fontId="3" fillId="2" borderId="5" xfId="0" applyFont="1" applyFill="1" applyBorder="1"/>
    <xf numFmtId="167" fontId="3" fillId="2" borderId="5" xfId="0" applyNumberFormat="1" applyFont="1" applyFill="1" applyBorder="1"/>
    <xf numFmtId="0" fontId="3" fillId="2" borderId="15" xfId="0" applyFont="1" applyFill="1" applyBorder="1"/>
    <xf numFmtId="3" fontId="3" fillId="2" borderId="3" xfId="0" applyNumberFormat="1" applyFont="1" applyFill="1" applyBorder="1" applyAlignment="1">
      <alignment horizontal="left"/>
    </xf>
    <xf numFmtId="3" fontId="3" fillId="2" borderId="3" xfId="0" applyNumberFormat="1" applyFont="1" applyFill="1" applyBorder="1"/>
    <xf numFmtId="2" fontId="3" fillId="2" borderId="3" xfId="0" applyNumberFormat="1" applyFont="1" applyFill="1" applyBorder="1"/>
    <xf numFmtId="167" fontId="3" fillId="2" borderId="2" xfId="0" applyNumberFormat="1" applyFont="1" applyFill="1" applyBorder="1"/>
    <xf numFmtId="167" fontId="3" fillId="2" borderId="3" xfId="0" applyNumberFormat="1" applyFont="1" applyFill="1" applyBorder="1"/>
    <xf numFmtId="0" fontId="3" fillId="0" borderId="2" xfId="0" applyFont="1" applyBorder="1" applyAlignment="1">
      <alignment horizontal="left" indent="1"/>
    </xf>
    <xf numFmtId="168" fontId="3" fillId="0" borderId="2" xfId="0" applyNumberFormat="1" applyFont="1" applyBorder="1"/>
    <xf numFmtId="0" fontId="14" fillId="0" borderId="0" xfId="0" applyFont="1" applyAlignment="1">
      <alignment horizontal="left" indent="1"/>
    </xf>
    <xf numFmtId="3" fontId="14" fillId="0" borderId="0" xfId="0" applyNumberFormat="1" applyFont="1"/>
    <xf numFmtId="1" fontId="3" fillId="0" borderId="0" xfId="0" applyNumberFormat="1" applyFont="1"/>
    <xf numFmtId="3" fontId="3" fillId="2" borderId="16" xfId="0" applyNumberFormat="1" applyFont="1" applyFill="1" applyBorder="1"/>
    <xf numFmtId="3" fontId="3" fillId="2" borderId="18" xfId="0" applyNumberFormat="1" applyFont="1" applyFill="1" applyBorder="1"/>
    <xf numFmtId="3" fontId="3" fillId="2" borderId="5" xfId="0" applyNumberFormat="1" applyFont="1" applyFill="1" applyBorder="1"/>
    <xf numFmtId="1" fontId="3" fillId="0" borderId="19" xfId="0" applyNumberFormat="1" applyFont="1" applyBorder="1"/>
    <xf numFmtId="0" fontId="3" fillId="0" borderId="0" xfId="0" applyFont="1" applyAlignment="1">
      <alignment horizontal="left" indent="1"/>
    </xf>
    <xf numFmtId="168" fontId="3" fillId="0" borderId="0" xfId="0" applyNumberFormat="1" applyFont="1"/>
    <xf numFmtId="165" fontId="3" fillId="0" borderId="2" xfId="0" applyNumberFormat="1" applyFont="1" applyBorder="1"/>
    <xf numFmtId="165" fontId="14" fillId="0" borderId="0" xfId="0" applyNumberFormat="1" applyFont="1"/>
    <xf numFmtId="0" fontId="3" fillId="0" borderId="3" xfId="0" applyFont="1" applyBorder="1"/>
    <xf numFmtId="164" fontId="3" fillId="4" borderId="0" xfId="0" applyNumberFormat="1" applyFont="1" applyFill="1"/>
    <xf numFmtId="164" fontId="3" fillId="0" borderId="19" xfId="0" applyNumberFormat="1" applyFont="1" applyBorder="1"/>
    <xf numFmtId="164" fontId="3" fillId="0" borderId="2" xfId="0" applyNumberFormat="1" applyFont="1" applyBorder="1"/>
    <xf numFmtId="168" fontId="3" fillId="0" borderId="19" xfId="0" applyNumberFormat="1" applyFont="1" applyBorder="1"/>
    <xf numFmtId="168" fontId="3" fillId="4" borderId="2" xfId="0" applyNumberFormat="1" applyFont="1" applyFill="1" applyBorder="1"/>
    <xf numFmtId="3" fontId="3" fillId="3" borderId="1" xfId="0" applyNumberFormat="1" applyFont="1" applyFill="1" applyBorder="1" applyProtection="1">
      <protection locked="0"/>
    </xf>
    <xf numFmtId="0" fontId="3" fillId="3" borderId="1" xfId="0" applyFont="1" applyFill="1" applyBorder="1" applyProtection="1">
      <protection locked="0"/>
    </xf>
    <xf numFmtId="167" fontId="3" fillId="3" borderId="1" xfId="0" applyNumberFormat="1" applyFont="1" applyFill="1" applyBorder="1" applyProtection="1">
      <protection locked="0"/>
    </xf>
    <xf numFmtId="3" fontId="3" fillId="3" borderId="1" xfId="0" applyNumberFormat="1" applyFont="1" applyFill="1" applyBorder="1" applyAlignment="1" applyProtection="1">
      <alignment horizontal="left"/>
      <protection locked="0"/>
    </xf>
    <xf numFmtId="3" fontId="3" fillId="3" borderId="24" xfId="0" applyNumberFormat="1" applyFont="1" applyFill="1" applyBorder="1" applyAlignment="1" applyProtection="1">
      <alignment horizontal="left"/>
      <protection locked="0"/>
    </xf>
    <xf numFmtId="3" fontId="3" fillId="3" borderId="24" xfId="0" applyNumberFormat="1" applyFont="1" applyFill="1" applyBorder="1" applyProtection="1">
      <protection locked="0"/>
    </xf>
    <xf numFmtId="2" fontId="3" fillId="3" borderId="24" xfId="0" applyNumberFormat="1" applyFont="1" applyFill="1" applyBorder="1" applyProtection="1">
      <protection locked="0"/>
    </xf>
    <xf numFmtId="0" fontId="3" fillId="3" borderId="24" xfId="0" applyFont="1" applyFill="1" applyBorder="1" applyProtection="1">
      <protection locked="0"/>
    </xf>
    <xf numFmtId="167" fontId="3" fillId="3" borderId="24" xfId="0" applyNumberFormat="1" applyFont="1" applyFill="1" applyBorder="1" applyProtection="1">
      <protection locked="0"/>
    </xf>
    <xf numFmtId="0" fontId="1" fillId="3" borderId="1" xfId="0" applyFont="1" applyFill="1" applyBorder="1" applyAlignment="1" applyProtection="1">
      <alignment horizontal="right"/>
      <protection locked="0"/>
    </xf>
    <xf numFmtId="0" fontId="1" fillId="3" borderId="5" xfId="0" applyFont="1" applyFill="1" applyBorder="1" applyAlignment="1" applyProtection="1">
      <alignment horizontal="right"/>
      <protection locked="0"/>
    </xf>
    <xf numFmtId="2" fontId="1" fillId="3" borderId="1" xfId="0" applyNumberFormat="1" applyFont="1" applyFill="1" applyBorder="1" applyAlignment="1" applyProtection="1">
      <alignment horizontal="right"/>
      <protection locked="0"/>
    </xf>
    <xf numFmtId="0" fontId="1" fillId="3" borderId="16" xfId="0" applyFont="1" applyFill="1" applyBorder="1" applyAlignment="1" applyProtection="1">
      <alignment horizontal="right"/>
      <protection locked="0"/>
    </xf>
    <xf numFmtId="0" fontId="1" fillId="3" borderId="14" xfId="0" applyFont="1" applyFill="1" applyBorder="1" applyAlignment="1" applyProtection="1">
      <alignment horizontal="right"/>
      <protection locked="0"/>
    </xf>
    <xf numFmtId="0" fontId="1" fillId="3" borderId="8" xfId="0" applyFont="1" applyFill="1" applyBorder="1" applyAlignment="1" applyProtection="1">
      <alignment horizontal="right"/>
      <protection locked="0"/>
    </xf>
    <xf numFmtId="0" fontId="1" fillId="3" borderId="1" xfId="0" applyFont="1" applyFill="1" applyBorder="1" applyAlignment="1" applyProtection="1">
      <alignment horizontal="center"/>
      <protection locked="0"/>
    </xf>
    <xf numFmtId="2" fontId="1" fillId="3" borderId="5" xfId="0" applyNumberFormat="1" applyFont="1" applyFill="1" applyBorder="1" applyAlignment="1" applyProtection="1">
      <alignment horizontal="right"/>
      <protection locked="0"/>
    </xf>
    <xf numFmtId="2" fontId="1" fillId="3" borderId="1" xfId="0" applyNumberFormat="1" applyFont="1" applyFill="1" applyBorder="1" applyProtection="1">
      <protection locked="0"/>
    </xf>
    <xf numFmtId="0" fontId="3" fillId="2" borderId="0" xfId="0" applyFont="1" applyFill="1" applyAlignment="1">
      <alignment horizontal="right"/>
    </xf>
    <xf numFmtId="0" fontId="4" fillId="2" borderId="0" xfId="0" applyFont="1" applyFill="1"/>
    <xf numFmtId="0" fontId="3" fillId="2" borderId="11" xfId="0" applyFont="1" applyFill="1" applyBorder="1"/>
    <xf numFmtId="0" fontId="3" fillId="2" borderId="11" xfId="0" applyFont="1" applyFill="1" applyBorder="1" applyAlignment="1">
      <alignment horizontal="right"/>
    </xf>
    <xf numFmtId="9" fontId="3" fillId="2" borderId="11" xfId="0" applyNumberFormat="1" applyFont="1" applyFill="1" applyBorder="1"/>
    <xf numFmtId="9" fontId="3" fillId="2" borderId="0" xfId="0" applyNumberFormat="1" applyFont="1" applyFill="1"/>
    <xf numFmtId="9" fontId="3" fillId="2" borderId="0" xfId="0" applyNumberFormat="1" applyFont="1" applyFill="1" applyAlignment="1">
      <alignment horizontal="center"/>
    </xf>
    <xf numFmtId="169" fontId="3" fillId="2" borderId="0" xfId="0" applyNumberFormat="1" applyFont="1" applyFill="1"/>
    <xf numFmtId="170" fontId="3" fillId="2" borderId="0" xfId="0" applyNumberFormat="1" applyFont="1" applyFill="1"/>
    <xf numFmtId="0" fontId="3" fillId="2" borderId="6" xfId="0" applyFont="1" applyFill="1" applyBorder="1"/>
    <xf numFmtId="2" fontId="6" fillId="2" borderId="6" xfId="0" applyNumberFormat="1" applyFont="1" applyFill="1" applyBorder="1" applyAlignment="1">
      <alignment horizontal="right"/>
    </xf>
    <xf numFmtId="0" fontId="6" fillId="2" borderId="6" xfId="0" applyFont="1" applyFill="1" applyBorder="1"/>
    <xf numFmtId="0" fontId="6" fillId="2" borderId="6" xfId="0" applyFont="1" applyFill="1" applyBorder="1" applyAlignment="1">
      <alignment horizontal="right"/>
    </xf>
    <xf numFmtId="4" fontId="6" fillId="2" borderId="6" xfId="0" applyNumberFormat="1" applyFont="1" applyFill="1" applyBorder="1" applyAlignment="1">
      <alignment horizontal="right"/>
    </xf>
    <xf numFmtId="2" fontId="3" fillId="2" borderId="6" xfId="0" applyNumberFormat="1" applyFont="1" applyFill="1" applyBorder="1"/>
    <xf numFmtId="0" fontId="3" fillId="2" borderId="12" xfId="0" applyFont="1" applyFill="1" applyBorder="1"/>
    <xf numFmtId="2" fontId="3" fillId="2" borderId="12" xfId="0" applyNumberFormat="1" applyFont="1" applyFill="1" applyBorder="1"/>
    <xf numFmtId="0" fontId="2" fillId="2" borderId="12" xfId="0" applyFont="1" applyFill="1" applyBorder="1"/>
    <xf numFmtId="0" fontId="4" fillId="2" borderId="12" xfId="0" applyFont="1" applyFill="1" applyBorder="1"/>
    <xf numFmtId="0" fontId="7" fillId="2" borderId="12" xfId="0" applyFont="1" applyFill="1" applyBorder="1"/>
    <xf numFmtId="0" fontId="7" fillId="2" borderId="12" xfId="0" applyFont="1" applyFill="1" applyBorder="1" applyAlignment="1">
      <alignment horizontal="right"/>
    </xf>
    <xf numFmtId="4" fontId="7" fillId="2" borderId="12" xfId="0" applyNumberFormat="1" applyFont="1" applyFill="1" applyBorder="1" applyAlignment="1">
      <alignment horizontal="right"/>
    </xf>
    <xf numFmtId="169" fontId="4" fillId="2" borderId="12" xfId="0" applyNumberFormat="1" applyFont="1" applyFill="1" applyBorder="1"/>
    <xf numFmtId="0" fontId="6" fillId="2" borderId="0" xfId="0" applyFont="1" applyFill="1"/>
    <xf numFmtId="0" fontId="6" fillId="2" borderId="0" xfId="0" applyFont="1" applyFill="1" applyAlignment="1">
      <alignment horizontal="right"/>
    </xf>
    <xf numFmtId="4" fontId="6" fillId="2" borderId="0" xfId="0" applyNumberFormat="1" applyFont="1" applyFill="1" applyAlignment="1">
      <alignment horizontal="right"/>
    </xf>
    <xf numFmtId="0" fontId="6" fillId="2" borderId="0" xfId="0" applyFont="1" applyFill="1" applyAlignment="1">
      <alignment horizontal="center"/>
    </xf>
    <xf numFmtId="0" fontId="6" fillId="2" borderId="6" xfId="0" quotePrefix="1" applyFont="1" applyFill="1" applyBorder="1" applyAlignment="1">
      <alignment horizontal="right"/>
    </xf>
    <xf numFmtId="0" fontId="6" fillId="2" borderId="12" xfId="0" applyFont="1" applyFill="1" applyBorder="1"/>
    <xf numFmtId="0" fontId="6" fillId="2" borderId="12" xfId="0" quotePrefix="1" applyFont="1" applyFill="1" applyBorder="1" applyAlignment="1">
      <alignment horizontal="right"/>
    </xf>
    <xf numFmtId="0" fontId="6" fillId="2" borderId="12" xfId="0" applyFont="1" applyFill="1" applyBorder="1" applyAlignment="1">
      <alignment horizontal="right"/>
    </xf>
    <xf numFmtId="171" fontId="3" fillId="2" borderId="12" xfId="0" applyNumberFormat="1" applyFont="1" applyFill="1" applyBorder="1"/>
    <xf numFmtId="0" fontId="2" fillId="2" borderId="12" xfId="0" quotePrefix="1" applyFont="1" applyFill="1" applyBorder="1" applyAlignment="1">
      <alignment horizontal="right"/>
    </xf>
    <xf numFmtId="2" fontId="2" fillId="2" borderId="12" xfId="0" applyNumberFormat="1" applyFont="1" applyFill="1" applyBorder="1"/>
    <xf numFmtId="1" fontId="6" fillId="2" borderId="12" xfId="0" applyNumberFormat="1" applyFont="1" applyFill="1" applyBorder="1" applyAlignment="1">
      <alignment horizontal="right"/>
    </xf>
    <xf numFmtId="1" fontId="2" fillId="2" borderId="12" xfId="0" applyNumberFormat="1" applyFont="1" applyFill="1" applyBorder="1"/>
    <xf numFmtId="0" fontId="2" fillId="2" borderId="6" xfId="0" quotePrefix="1" applyFont="1" applyFill="1" applyBorder="1" applyAlignment="1">
      <alignment horizontal="right"/>
    </xf>
    <xf numFmtId="1" fontId="6" fillId="2" borderId="12" xfId="0" applyNumberFormat="1" applyFont="1" applyFill="1" applyBorder="1"/>
    <xf numFmtId="0" fontId="2" fillId="2" borderId="0" xfId="0" quotePrefix="1" applyFont="1" applyFill="1" applyAlignment="1">
      <alignment horizontal="right"/>
    </xf>
    <xf numFmtId="166" fontId="6" fillId="2" borderId="12" xfId="0" applyNumberFormat="1" applyFont="1" applyFill="1" applyBorder="1"/>
    <xf numFmtId="4" fontId="6" fillId="2" borderId="12" xfId="0" applyNumberFormat="1" applyFont="1" applyFill="1" applyBorder="1" applyAlignment="1">
      <alignment horizontal="right"/>
    </xf>
    <xf numFmtId="0" fontId="1" fillId="2" borderId="12" xfId="0" applyFont="1" applyFill="1" applyBorder="1"/>
    <xf numFmtId="4" fontId="2" fillId="2" borderId="12" xfId="0" applyNumberFormat="1" applyFont="1" applyFill="1" applyBorder="1" applyAlignment="1">
      <alignment horizontal="right"/>
    </xf>
    <xf numFmtId="165" fontId="6" fillId="2" borderId="12" xfId="0" applyNumberFormat="1" applyFont="1" applyFill="1" applyBorder="1" applyAlignment="1">
      <alignment horizontal="right"/>
    </xf>
    <xf numFmtId="0" fontId="7" fillId="2" borderId="0" xfId="0" applyFont="1" applyFill="1"/>
    <xf numFmtId="4" fontId="7" fillId="2" borderId="0" xfId="0" applyNumberFormat="1" applyFont="1" applyFill="1" applyAlignment="1">
      <alignment horizontal="right"/>
    </xf>
    <xf numFmtId="171" fontId="4" fillId="2" borderId="0" xfId="0" applyNumberFormat="1" applyFont="1" applyFill="1"/>
    <xf numFmtId="0" fontId="3" fillId="2" borderId="6" xfId="0" applyFont="1" applyFill="1" applyBorder="1" applyAlignment="1">
      <alignment horizontal="left"/>
    </xf>
    <xf numFmtId="0" fontId="6" fillId="2" borderId="6" xfId="0" applyFont="1" applyFill="1" applyBorder="1" applyAlignment="1">
      <alignment horizontal="left"/>
    </xf>
    <xf numFmtId="171" fontId="3" fillId="2" borderId="6" xfId="0" applyNumberFormat="1" applyFont="1" applyFill="1" applyBorder="1"/>
    <xf numFmtId="165" fontId="2" fillId="2" borderId="12" xfId="0" applyNumberFormat="1" applyFont="1" applyFill="1" applyBorder="1" applyAlignment="1">
      <alignment horizontal="right"/>
    </xf>
    <xf numFmtId="0" fontId="3" fillId="2" borderId="10" xfId="0" applyFont="1" applyFill="1" applyBorder="1"/>
    <xf numFmtId="0" fontId="3" fillId="2" borderId="10" xfId="0" applyFont="1" applyFill="1" applyBorder="1" applyAlignment="1">
      <alignment horizontal="right"/>
    </xf>
    <xf numFmtId="0" fontId="4" fillId="2" borderId="6" xfId="0" applyFont="1" applyFill="1" applyBorder="1"/>
    <xf numFmtId="0" fontId="4" fillId="2" borderId="6" xfId="0" applyFont="1" applyFill="1" applyBorder="1" applyAlignment="1">
      <alignment horizontal="right"/>
    </xf>
    <xf numFmtId="169" fontId="4" fillId="2" borderId="6" xfId="0" applyNumberFormat="1" applyFont="1" applyFill="1" applyBorder="1"/>
    <xf numFmtId="0" fontId="4" fillId="2" borderId="10" xfId="0" applyFont="1" applyFill="1" applyBorder="1"/>
    <xf numFmtId="0" fontId="4" fillId="2" borderId="10" xfId="0" applyFont="1" applyFill="1" applyBorder="1" applyAlignment="1">
      <alignment horizontal="right"/>
    </xf>
    <xf numFmtId="169" fontId="4" fillId="2" borderId="10" xfId="0" applyNumberFormat="1" applyFont="1" applyFill="1" applyBorder="1"/>
    <xf numFmtId="0" fontId="3" fillId="2" borderId="6" xfId="0" applyFont="1" applyFill="1" applyBorder="1" applyAlignment="1">
      <alignment horizontal="right"/>
    </xf>
    <xf numFmtId="169" fontId="3" fillId="2" borderId="6" xfId="0" applyNumberFormat="1" applyFont="1" applyFill="1" applyBorder="1"/>
    <xf numFmtId="0" fontId="3" fillId="2" borderId="12" xfId="0" applyFont="1" applyFill="1" applyBorder="1" applyAlignment="1">
      <alignment horizontal="right"/>
    </xf>
    <xf numFmtId="169" fontId="3" fillId="2" borderId="12" xfId="0" applyNumberFormat="1" applyFont="1" applyFill="1" applyBorder="1"/>
    <xf numFmtId="0" fontId="1" fillId="2" borderId="7" xfId="0" applyFont="1" applyFill="1" applyBorder="1"/>
    <xf numFmtId="164" fontId="1" fillId="2" borderId="7" xfId="0" applyNumberFormat="1" applyFont="1" applyFill="1" applyBorder="1"/>
    <xf numFmtId="0" fontId="1" fillId="2" borderId="17" xfId="0" applyFont="1" applyFill="1" applyBorder="1"/>
    <xf numFmtId="0" fontId="1" fillId="2" borderId="17" xfId="0" applyFont="1" applyFill="1" applyBorder="1" applyAlignment="1">
      <alignment horizontal="right"/>
    </xf>
    <xf numFmtId="167" fontId="3" fillId="2" borderId="17" xfId="0" applyNumberFormat="1" applyFont="1" applyFill="1" applyBorder="1" applyAlignment="1">
      <alignment horizontal="right"/>
    </xf>
    <xf numFmtId="167" fontId="1" fillId="2" borderId="17" xfId="0" applyNumberFormat="1" applyFont="1" applyFill="1" applyBorder="1" applyAlignment="1">
      <alignment horizontal="right"/>
    </xf>
    <xf numFmtId="2" fontId="1" fillId="2" borderId="17" xfId="0" applyNumberFormat="1" applyFont="1" applyFill="1" applyBorder="1" applyAlignment="1">
      <alignment horizontal="right"/>
    </xf>
    <xf numFmtId="164" fontId="1" fillId="2" borderId="17" xfId="0" applyNumberFormat="1" applyFont="1" applyFill="1" applyBorder="1" applyAlignment="1">
      <alignment horizontal="right"/>
    </xf>
    <xf numFmtId="0" fontId="1" fillId="2" borderId="12" xfId="0" applyFont="1" applyFill="1" applyBorder="1" applyAlignment="1">
      <alignment horizontal="right"/>
    </xf>
    <xf numFmtId="166" fontId="3" fillId="2" borderId="12" xfId="0" applyNumberFormat="1" applyFont="1" applyFill="1" applyBorder="1" applyAlignment="1">
      <alignment horizontal="right"/>
    </xf>
    <xf numFmtId="166" fontId="1" fillId="2" borderId="12" xfId="0" applyNumberFormat="1" applyFont="1" applyFill="1" applyBorder="1" applyAlignment="1">
      <alignment horizontal="right"/>
    </xf>
    <xf numFmtId="3" fontId="3" fillId="2" borderId="12" xfId="0" applyNumberFormat="1" applyFont="1" applyFill="1" applyBorder="1" applyAlignment="1">
      <alignment horizontal="right"/>
    </xf>
    <xf numFmtId="167" fontId="1" fillId="2" borderId="12" xfId="0" applyNumberFormat="1" applyFont="1" applyFill="1" applyBorder="1" applyAlignment="1">
      <alignment horizontal="right"/>
    </xf>
    <xf numFmtId="164" fontId="1" fillId="2" borderId="12" xfId="0" applyNumberFormat="1" applyFont="1" applyFill="1" applyBorder="1" applyAlignment="1">
      <alignment horizontal="right"/>
    </xf>
    <xf numFmtId="167" fontId="3" fillId="2" borderId="12" xfId="0" applyNumberFormat="1" applyFont="1" applyFill="1" applyBorder="1" applyAlignment="1">
      <alignment horizontal="right"/>
    </xf>
    <xf numFmtId="1" fontId="3" fillId="2" borderId="6" xfId="0" applyNumberFormat="1" applyFont="1" applyFill="1" applyBorder="1"/>
    <xf numFmtId="168" fontId="3" fillId="2" borderId="12" xfId="0" applyNumberFormat="1" applyFont="1" applyFill="1" applyBorder="1"/>
    <xf numFmtId="0" fontId="3" fillId="2" borderId="20" xfId="0" applyFont="1" applyFill="1" applyBorder="1"/>
    <xf numFmtId="168" fontId="3" fillId="2" borderId="20" xfId="0" applyNumberFormat="1" applyFont="1" applyFill="1" applyBorder="1"/>
    <xf numFmtId="0" fontId="3" fillId="2" borderId="2" xfId="0" applyFont="1" applyFill="1" applyBorder="1" applyAlignment="1">
      <alignment horizontal="left" indent="1"/>
    </xf>
    <xf numFmtId="168" fontId="3" fillId="2" borderId="25" xfId="0" applyNumberFormat="1" applyFont="1" applyFill="1" applyBorder="1"/>
    <xf numFmtId="0" fontId="2" fillId="2" borderId="0" xfId="0" applyFont="1" applyFill="1" applyAlignment="1">
      <alignment horizontal="left" indent="1"/>
    </xf>
    <xf numFmtId="2" fontId="6" fillId="2" borderId="6" xfId="0" applyNumberFormat="1" applyFont="1" applyFill="1" applyBorder="1"/>
    <xf numFmtId="0" fontId="1" fillId="0" borderId="19" xfId="0" applyFont="1" applyBorder="1" applyAlignment="1">
      <alignment horizontal="center"/>
    </xf>
    <xf numFmtId="0" fontId="1" fillId="0" borderId="26" xfId="0" applyFont="1" applyBorder="1"/>
    <xf numFmtId="2" fontId="1" fillId="3" borderId="24" xfId="0" applyNumberFormat="1" applyFont="1" applyFill="1" applyBorder="1" applyProtection="1">
      <protection locked="0"/>
    </xf>
    <xf numFmtId="2" fontId="3" fillId="4" borderId="19" xfId="0" applyNumberFormat="1" applyFont="1" applyFill="1" applyBorder="1"/>
    <xf numFmtId="1" fontId="1" fillId="0" borderId="4" xfId="0" applyNumberFormat="1" applyFont="1" applyBorder="1"/>
    <xf numFmtId="2" fontId="1" fillId="0" borderId="4" xfId="0" applyNumberFormat="1" applyFont="1" applyBorder="1"/>
    <xf numFmtId="0" fontId="1" fillId="3" borderId="24" xfId="0" applyFont="1" applyFill="1" applyBorder="1" applyProtection="1">
      <protection locked="0"/>
    </xf>
    <xf numFmtId="1" fontId="1" fillId="0" borderId="19" xfId="0" applyNumberFormat="1" applyFont="1" applyBorder="1"/>
    <xf numFmtId="4" fontId="1" fillId="0" borderId="19" xfId="0" applyNumberFormat="1" applyFont="1" applyBorder="1"/>
    <xf numFmtId="0" fontId="3" fillId="0" borderId="0" xfId="0" applyFont="1" applyAlignment="1">
      <alignment horizontal="right"/>
    </xf>
    <xf numFmtId="0" fontId="3" fillId="0" borderId="19" xfId="0" applyFont="1" applyBorder="1" applyAlignment="1">
      <alignment horizontal="right"/>
    </xf>
    <xf numFmtId="0" fontId="2" fillId="0" borderId="0" xfId="0" applyFont="1"/>
    <xf numFmtId="164" fontId="6" fillId="2" borderId="6" xfId="0" applyNumberFormat="1" applyFont="1" applyFill="1" applyBorder="1" applyAlignment="1">
      <alignment horizontal="right"/>
    </xf>
    <xf numFmtId="168" fontId="6" fillId="2" borderId="6" xfId="0" applyNumberFormat="1" applyFont="1" applyFill="1" applyBorder="1" applyAlignment="1">
      <alignment horizontal="right"/>
    </xf>
    <xf numFmtId="168" fontId="6" fillId="2" borderId="12" xfId="0" applyNumberFormat="1" applyFont="1" applyFill="1" applyBorder="1" applyAlignment="1">
      <alignment horizontal="right"/>
    </xf>
    <xf numFmtId="172" fontId="6" fillId="2" borderId="6" xfId="0" applyNumberFormat="1" applyFont="1" applyFill="1" applyBorder="1" applyAlignment="1">
      <alignment horizontal="right"/>
    </xf>
    <xf numFmtId="172" fontId="6" fillId="2" borderId="12" xfId="0" applyNumberFormat="1" applyFont="1" applyFill="1" applyBorder="1" applyAlignment="1">
      <alignment horizontal="right"/>
    </xf>
    <xf numFmtId="166" fontId="2" fillId="2" borderId="12" xfId="0" applyNumberFormat="1" applyFont="1" applyFill="1" applyBorder="1"/>
    <xf numFmtId="0" fontId="2" fillId="2" borderId="12" xfId="0" applyFont="1" applyFill="1" applyBorder="1" applyAlignment="1">
      <alignment horizontal="right"/>
    </xf>
    <xf numFmtId="1" fontId="1" fillId="0" borderId="8" xfId="0" applyNumberFormat="1" applyFont="1" applyBorder="1"/>
    <xf numFmtId="166" fontId="3" fillId="2" borderId="0" xfId="0" applyNumberFormat="1" applyFont="1" applyFill="1" applyAlignment="1">
      <alignment horizontal="right"/>
    </xf>
    <xf numFmtId="164" fontId="3" fillId="2" borderId="0" xfId="0" applyNumberFormat="1" applyFont="1" applyFill="1" applyAlignment="1">
      <alignment horizontal="right"/>
    </xf>
    <xf numFmtId="2" fontId="1" fillId="2" borderId="7" xfId="0" applyNumberFormat="1" applyFont="1" applyFill="1" applyBorder="1"/>
    <xf numFmtId="168" fontId="10" fillId="0" borderId="0" xfId="0" applyNumberFormat="1" applyFont="1"/>
    <xf numFmtId="164" fontId="10" fillId="0" borderId="0" xfId="0" applyNumberFormat="1" applyFont="1"/>
    <xf numFmtId="166" fontId="1" fillId="0" borderId="2" xfId="0" applyNumberFormat="1" applyFont="1" applyBorder="1"/>
    <xf numFmtId="0" fontId="1" fillId="7" borderId="3" xfId="0" applyFont="1" applyFill="1" applyBorder="1" applyAlignment="1">
      <alignment horizontal="left"/>
    </xf>
    <xf numFmtId="0" fontId="8" fillId="7" borderId="3" xfId="0" applyFont="1" applyFill="1" applyBorder="1" applyAlignment="1">
      <alignment horizontal="center"/>
    </xf>
    <xf numFmtId="0" fontId="1" fillId="7" borderId="3" xfId="0" applyFont="1" applyFill="1" applyBorder="1"/>
    <xf numFmtId="0" fontId="1" fillId="7" borderId="3" xfId="0" applyFont="1" applyFill="1" applyBorder="1" applyAlignment="1">
      <alignment horizontal="center"/>
    </xf>
    <xf numFmtId="0" fontId="3" fillId="7" borderId="3" xfId="0" applyFont="1" applyFill="1" applyBorder="1"/>
    <xf numFmtId="0" fontId="1" fillId="7" borderId="2" xfId="0" applyFont="1" applyFill="1" applyBorder="1"/>
    <xf numFmtId="0" fontId="1" fillId="7" borderId="2" xfId="0" applyFont="1" applyFill="1" applyBorder="1" applyAlignment="1">
      <alignment horizontal="right"/>
    </xf>
    <xf numFmtId="0" fontId="1" fillId="7" borderId="3" xfId="0" applyFont="1" applyFill="1" applyBorder="1" applyAlignment="1">
      <alignment horizontal="right"/>
    </xf>
    <xf numFmtId="0" fontId="1" fillId="7" borderId="4" xfId="0" applyFont="1" applyFill="1" applyBorder="1"/>
    <xf numFmtId="0" fontId="1" fillId="7" borderId="4" xfId="0" applyFont="1" applyFill="1" applyBorder="1" applyAlignment="1">
      <alignment horizontal="right"/>
    </xf>
    <xf numFmtId="0" fontId="3" fillId="7" borderId="4" xfId="0" applyFont="1" applyFill="1" applyBorder="1" applyAlignment="1">
      <alignment horizontal="right"/>
    </xf>
    <xf numFmtId="0" fontId="3" fillId="7" borderId="2" xfId="0" applyFont="1" applyFill="1" applyBorder="1" applyAlignment="1">
      <alignment horizontal="right"/>
    </xf>
    <xf numFmtId="0" fontId="3" fillId="7" borderId="3" xfId="0" applyFont="1" applyFill="1" applyBorder="1" applyAlignment="1">
      <alignment horizontal="right"/>
    </xf>
    <xf numFmtId="0" fontId="3" fillId="7" borderId="4" xfId="0" applyFont="1" applyFill="1" applyBorder="1"/>
    <xf numFmtId="0" fontId="3" fillId="7" borderId="2" xfId="0" applyFont="1" applyFill="1" applyBorder="1"/>
    <xf numFmtId="0" fontId="14" fillId="7" borderId="2" xfId="0" applyFont="1" applyFill="1" applyBorder="1" applyAlignment="1">
      <alignment horizontal="left" indent="1"/>
    </xf>
    <xf numFmtId="0" fontId="3" fillId="7" borderId="0" xfId="0" applyFont="1" applyFill="1"/>
    <xf numFmtId="0" fontId="14" fillId="7" borderId="2" xfId="0" applyFont="1" applyFill="1" applyBorder="1" applyAlignment="1">
      <alignment horizontal="left"/>
    </xf>
    <xf numFmtId="0" fontId="9" fillId="7" borderId="3" xfId="0" applyFont="1" applyFill="1" applyBorder="1" applyAlignment="1">
      <alignment horizontal="center"/>
    </xf>
    <xf numFmtId="0" fontId="1" fillId="7" borderId="0" xfId="0" applyFont="1" applyFill="1"/>
    <xf numFmtId="0" fontId="1" fillId="7" borderId="0" xfId="0" applyFont="1" applyFill="1" applyAlignment="1">
      <alignment horizontal="right"/>
    </xf>
    <xf numFmtId="2" fontId="6" fillId="2" borderId="12" xfId="0" applyNumberFormat="1" applyFont="1" applyFill="1" applyBorder="1"/>
    <xf numFmtId="168" fontId="3" fillId="2" borderId="6" xfId="0" applyNumberFormat="1" applyFont="1" applyFill="1" applyBorder="1"/>
    <xf numFmtId="8" fontId="3" fillId="2" borderId="6" xfId="0" applyNumberFormat="1" applyFont="1" applyFill="1" applyBorder="1"/>
    <xf numFmtId="0" fontId="20" fillId="2" borderId="23" xfId="0" applyFont="1" applyFill="1" applyBorder="1" applyAlignment="1">
      <alignment horizontal="left"/>
    </xf>
    <xf numFmtId="0" fontId="20" fillId="2" borderId="23" xfId="0" applyFont="1" applyFill="1" applyBorder="1" applyAlignment="1">
      <alignment horizontal="right"/>
    </xf>
    <xf numFmtId="0" fontId="20" fillId="2" borderId="22" xfId="0" applyFont="1" applyFill="1" applyBorder="1" applyAlignment="1">
      <alignment horizontal="right"/>
    </xf>
    <xf numFmtId="0" fontId="20" fillId="0" borderId="23" xfId="0" applyFont="1" applyBorder="1" applyAlignment="1">
      <alignment horizontal="left"/>
    </xf>
    <xf numFmtId="1" fontId="20" fillId="0" borderId="23" xfId="0" applyNumberFormat="1" applyFont="1" applyBorder="1" applyAlignment="1">
      <alignment horizontal="right"/>
    </xf>
    <xf numFmtId="2" fontId="20" fillId="0" borderId="23" xfId="0" applyNumberFormat="1" applyFont="1" applyBorder="1" applyAlignment="1">
      <alignment horizontal="right"/>
    </xf>
    <xf numFmtId="166" fontId="20" fillId="0" borderId="23" xfId="0" applyNumberFormat="1" applyFont="1" applyBorder="1" applyAlignment="1">
      <alignment horizontal="right"/>
    </xf>
    <xf numFmtId="1" fontId="20" fillId="0" borderId="0" xfId="0" applyNumberFormat="1" applyFont="1" applyAlignment="1">
      <alignment horizontal="right"/>
    </xf>
    <xf numFmtId="0" fontId="4" fillId="2" borderId="0" xfId="0" applyFont="1" applyFill="1" applyAlignment="1">
      <alignment horizontal="left" indent="1"/>
    </xf>
    <xf numFmtId="0" fontId="3" fillId="2" borderId="11" xfId="0" applyFont="1" applyFill="1" applyBorder="1" applyAlignment="1">
      <alignment horizontal="left" indent="1"/>
    </xf>
    <xf numFmtId="1" fontId="3" fillId="2" borderId="0" xfId="0" applyNumberFormat="1" applyFont="1" applyFill="1"/>
    <xf numFmtId="9" fontId="3" fillId="2" borderId="0" xfId="0" applyNumberFormat="1" applyFont="1" applyFill="1" applyAlignment="1">
      <alignment horizontal="left"/>
    </xf>
    <xf numFmtId="0" fontId="19" fillId="0" borderId="0" xfId="0" applyFont="1" applyAlignment="1">
      <alignment horizontal="left" indent="1"/>
    </xf>
    <xf numFmtId="0" fontId="21" fillId="0" borderId="0" xfId="0" applyFont="1"/>
    <xf numFmtId="43" fontId="3" fillId="0" borderId="0" xfId="2" applyFont="1" applyAlignment="1">
      <alignment horizontal="right"/>
    </xf>
    <xf numFmtId="43" fontId="3" fillId="0" borderId="0" xfId="2" applyFont="1"/>
    <xf numFmtId="44" fontId="1" fillId="0" borderId="0" xfId="3" applyFont="1"/>
    <xf numFmtId="44" fontId="1" fillId="0" borderId="0" xfId="0" applyNumberFormat="1" applyFont="1"/>
    <xf numFmtId="175" fontId="3" fillId="0" borderId="0" xfId="2" applyNumberFormat="1" applyFont="1" applyFill="1" applyProtection="1"/>
    <xf numFmtId="175" fontId="3" fillId="0" borderId="0" xfId="2" applyNumberFormat="1" applyFont="1" applyProtection="1"/>
    <xf numFmtId="43" fontId="3" fillId="0" borderId="0" xfId="2" applyFont="1" applyProtection="1"/>
    <xf numFmtId="175" fontId="3" fillId="0" borderId="19" xfId="2" applyNumberFormat="1" applyFont="1" applyFill="1" applyBorder="1" applyProtection="1"/>
    <xf numFmtId="175" fontId="3" fillId="0" borderId="19" xfId="2" applyNumberFormat="1" applyFont="1" applyBorder="1" applyProtection="1"/>
    <xf numFmtId="43" fontId="3" fillId="0" borderId="0" xfId="2" applyFont="1" applyFill="1" applyProtection="1"/>
    <xf numFmtId="43" fontId="3" fillId="0" borderId="19" xfId="2" applyFont="1" applyFill="1" applyBorder="1" applyProtection="1"/>
    <xf numFmtId="165" fontId="1" fillId="3" borderId="1" xfId="4" applyNumberFormat="1" applyFont="1" applyFill="1" applyBorder="1" applyProtection="1">
      <protection locked="0"/>
    </xf>
    <xf numFmtId="2" fontId="1" fillId="3" borderId="1" xfId="0" applyNumberFormat="1" applyFont="1" applyFill="1" applyBorder="1" applyAlignment="1" applyProtection="1">
      <alignment horizontal="center"/>
      <protection locked="0"/>
    </xf>
    <xf numFmtId="43" fontId="1" fillId="0" borderId="0" xfId="2" applyFont="1"/>
    <xf numFmtId="169" fontId="3" fillId="2" borderId="0" xfId="0" applyNumberFormat="1" applyFont="1" applyFill="1" applyAlignment="1">
      <alignment horizontal="right"/>
    </xf>
    <xf numFmtId="40" fontId="3" fillId="2" borderId="10" xfId="0" applyNumberFormat="1" applyFont="1" applyFill="1" applyBorder="1"/>
    <xf numFmtId="40" fontId="3" fillId="2" borderId="6" xfId="0" applyNumberFormat="1" applyFont="1" applyFill="1" applyBorder="1"/>
    <xf numFmtId="40" fontId="3" fillId="2" borderId="6" xfId="0" applyNumberFormat="1" applyFont="1" applyFill="1" applyBorder="1" applyAlignment="1">
      <alignment horizontal="right"/>
    </xf>
    <xf numFmtId="40" fontId="3" fillId="2" borderId="6" xfId="2" applyNumberFormat="1" applyFont="1" applyFill="1" applyBorder="1" applyAlignment="1" applyProtection="1">
      <alignment horizontal="right"/>
    </xf>
    <xf numFmtId="40" fontId="3" fillId="2" borderId="12" xfId="0" applyNumberFormat="1" applyFont="1" applyFill="1" applyBorder="1" applyAlignment="1">
      <alignment horizontal="right"/>
    </xf>
    <xf numFmtId="169" fontId="4" fillId="2" borderId="12" xfId="0" applyNumberFormat="1" applyFont="1" applyFill="1" applyBorder="1" applyAlignment="1">
      <alignment horizontal="right"/>
    </xf>
    <xf numFmtId="171" fontId="4" fillId="2" borderId="0" xfId="0" applyNumberFormat="1" applyFont="1" applyFill="1" applyAlignment="1">
      <alignment horizontal="right"/>
    </xf>
    <xf numFmtId="169" fontId="4" fillId="2" borderId="6" xfId="0" applyNumberFormat="1" applyFont="1" applyFill="1" applyBorder="1" applyAlignment="1">
      <alignment horizontal="right"/>
    </xf>
    <xf numFmtId="8" fontId="3" fillId="2" borderId="6" xfId="0" applyNumberFormat="1" applyFont="1" applyFill="1" applyBorder="1" applyAlignment="1">
      <alignment horizontal="right"/>
    </xf>
    <xf numFmtId="8" fontId="3" fillId="2" borderId="6" xfId="3" applyNumberFormat="1" applyFont="1" applyFill="1" applyBorder="1" applyAlignment="1" applyProtection="1">
      <alignment horizontal="right"/>
    </xf>
    <xf numFmtId="8" fontId="3" fillId="2" borderId="12" xfId="0" applyNumberFormat="1" applyFont="1" applyFill="1" applyBorder="1" applyAlignment="1">
      <alignment horizontal="right"/>
    </xf>
    <xf numFmtId="164" fontId="1" fillId="2" borderId="6" xfId="0" applyNumberFormat="1" applyFont="1" applyFill="1" applyBorder="1" applyAlignment="1">
      <alignment horizontal="right"/>
    </xf>
    <xf numFmtId="164" fontId="1" fillId="2" borderId="0" xfId="0" applyNumberFormat="1" applyFont="1" applyFill="1" applyAlignment="1">
      <alignment horizontal="right"/>
    </xf>
    <xf numFmtId="164" fontId="1" fillId="2" borderId="7" xfId="0" applyNumberFormat="1" applyFont="1" applyFill="1" applyBorder="1" applyAlignment="1">
      <alignment horizontal="right"/>
    </xf>
    <xf numFmtId="8" fontId="3" fillId="2" borderId="7" xfId="3" applyNumberFormat="1" applyFont="1" applyFill="1" applyBorder="1" applyAlignment="1" applyProtection="1">
      <alignment horizontal="right"/>
    </xf>
    <xf numFmtId="40" fontId="1" fillId="2" borderId="12" xfId="0" applyNumberFormat="1" applyFont="1" applyFill="1" applyBorder="1"/>
    <xf numFmtId="40" fontId="3" fillId="2" borderId="7" xfId="0" applyNumberFormat="1" applyFont="1" applyFill="1" applyBorder="1"/>
    <xf numFmtId="169" fontId="3" fillId="2" borderId="10" xfId="0" applyNumberFormat="1" applyFont="1" applyFill="1" applyBorder="1" applyAlignment="1">
      <alignment horizontal="right"/>
    </xf>
    <xf numFmtId="165" fontId="1" fillId="0" borderId="0" xfId="4" applyNumberFormat="1" applyFont="1" applyProtection="1"/>
    <xf numFmtId="10" fontId="1" fillId="0" borderId="0" xfId="4" applyNumberFormat="1" applyFont="1" applyProtection="1"/>
    <xf numFmtId="164" fontId="3" fillId="4" borderId="0" xfId="0" applyNumberFormat="1" applyFont="1" applyFill="1" applyAlignment="1">
      <alignment horizontal="right"/>
    </xf>
    <xf numFmtId="165" fontId="1" fillId="0" borderId="0" xfId="0" applyNumberFormat="1" applyFont="1"/>
    <xf numFmtId="0" fontId="18" fillId="0" borderId="0" xfId="0" applyFont="1" applyAlignment="1">
      <alignment horizontal="left" indent="1"/>
    </xf>
    <xf numFmtId="9" fontId="10" fillId="0" borderId="0" xfId="4" applyFont="1" applyProtection="1"/>
    <xf numFmtId="8" fontId="3" fillId="2" borderId="7" xfId="0" applyNumberFormat="1" applyFont="1" applyFill="1" applyBorder="1"/>
    <xf numFmtId="0" fontId="6" fillId="2" borderId="6" xfId="0" applyFont="1" applyFill="1" applyBorder="1" applyAlignment="1">
      <alignment horizontal="center"/>
    </xf>
    <xf numFmtId="0" fontId="7" fillId="2" borderId="12" xfId="0" applyFont="1" applyFill="1" applyBorder="1" applyAlignment="1">
      <alignment horizontal="center"/>
    </xf>
    <xf numFmtId="0" fontId="6" fillId="2" borderId="12" xfId="0" applyFont="1" applyFill="1" applyBorder="1" applyAlignment="1">
      <alignment horizontal="center"/>
    </xf>
    <xf numFmtId="1" fontId="6" fillId="2" borderId="12" xfId="0" applyNumberFormat="1" applyFont="1" applyFill="1" applyBorder="1" applyAlignment="1">
      <alignment horizontal="center"/>
    </xf>
    <xf numFmtId="0" fontId="2" fillId="2" borderId="12" xfId="0" applyFont="1" applyFill="1" applyBorder="1" applyAlignment="1">
      <alignment horizontal="center"/>
    </xf>
    <xf numFmtId="0" fontId="7" fillId="2" borderId="0" xfId="0" applyFont="1" applyFill="1" applyAlignment="1">
      <alignment horizontal="center"/>
    </xf>
    <xf numFmtId="167" fontId="3" fillId="3" borderId="1" xfId="2" applyNumberFormat="1" applyFont="1" applyFill="1" applyBorder="1" applyProtection="1">
      <protection locked="0"/>
    </xf>
    <xf numFmtId="43" fontId="1" fillId="0" borderId="0" xfId="2" applyFont="1" applyProtection="1"/>
    <xf numFmtId="177" fontId="1" fillId="0" borderId="0" xfId="0" applyNumberFormat="1" applyFont="1"/>
    <xf numFmtId="0" fontId="20" fillId="0" borderId="0" xfId="0" applyFont="1" applyAlignment="1">
      <alignment horizontal="left"/>
    </xf>
    <xf numFmtId="2" fontId="20" fillId="0" borderId="0" xfId="0" applyNumberFormat="1" applyFont="1" applyAlignment="1">
      <alignment horizontal="right"/>
    </xf>
    <xf numFmtId="166" fontId="20" fillId="0" borderId="0" xfId="0" applyNumberFormat="1" applyFont="1" applyAlignment="1">
      <alignment horizontal="right"/>
    </xf>
    <xf numFmtId="0" fontId="20" fillId="0" borderId="27" xfId="0" applyFont="1" applyBorder="1" applyAlignment="1">
      <alignment horizontal="right"/>
    </xf>
    <xf numFmtId="166" fontId="20" fillId="0" borderId="27" xfId="0" applyNumberFormat="1" applyFont="1" applyBorder="1" applyAlignment="1">
      <alignment horizontal="right"/>
    </xf>
    <xf numFmtId="0" fontId="17" fillId="2" borderId="23" xfId="0" applyFont="1" applyFill="1" applyBorder="1" applyAlignment="1">
      <alignment horizontal="right"/>
    </xf>
    <xf numFmtId="164" fontId="16" fillId="0" borderId="0" xfId="0" applyNumberFormat="1" applyFont="1"/>
    <xf numFmtId="164" fontId="16" fillId="0" borderId="22" xfId="0" applyNumberFormat="1" applyFont="1" applyBorder="1"/>
    <xf numFmtId="0" fontId="17" fillId="2" borderId="22" xfId="0" quotePrefix="1" applyFont="1" applyFill="1" applyBorder="1" applyAlignment="1">
      <alignment horizontal="right"/>
    </xf>
    <xf numFmtId="0" fontId="1" fillId="2" borderId="3" xfId="0" applyFont="1" applyFill="1" applyBorder="1"/>
    <xf numFmtId="0" fontId="1" fillId="2" borderId="6" xfId="0" applyFont="1" applyFill="1" applyBorder="1"/>
    <xf numFmtId="1" fontId="1" fillId="2" borderId="12" xfId="0" applyNumberFormat="1" applyFont="1" applyFill="1" applyBorder="1"/>
    <xf numFmtId="164" fontId="1" fillId="2" borderId="0" xfId="0" applyNumberFormat="1" applyFont="1" applyFill="1"/>
    <xf numFmtId="9" fontId="1" fillId="2" borderId="12" xfId="0" applyNumberFormat="1" applyFont="1" applyFill="1" applyBorder="1"/>
    <xf numFmtId="176" fontId="1" fillId="2" borderId="0" xfId="0" applyNumberFormat="1" applyFont="1" applyFill="1"/>
    <xf numFmtId="0" fontId="1" fillId="2" borderId="10" xfId="0" applyFont="1" applyFill="1" applyBorder="1"/>
    <xf numFmtId="9" fontId="1" fillId="2" borderId="10" xfId="0" applyNumberFormat="1" applyFont="1" applyFill="1" applyBorder="1"/>
    <xf numFmtId="165" fontId="1" fillId="2" borderId="4" xfId="0" applyNumberFormat="1" applyFont="1" applyFill="1" applyBorder="1"/>
    <xf numFmtId="0" fontId="1" fillId="2" borderId="10" xfId="0" applyFont="1" applyFill="1" applyBorder="1" applyAlignment="1">
      <alignment horizontal="right"/>
    </xf>
    <xf numFmtId="174" fontId="1" fillId="2" borderId="0" xfId="0" applyNumberFormat="1" applyFont="1" applyFill="1"/>
    <xf numFmtId="49" fontId="1" fillId="0" borderId="0" xfId="0" applyNumberFormat="1" applyFont="1"/>
    <xf numFmtId="0" fontId="3" fillId="2" borderId="7" xfId="0" applyFont="1" applyFill="1" applyBorder="1"/>
    <xf numFmtId="0" fontId="2" fillId="2" borderId="0" xfId="0" applyFont="1" applyFill="1" applyAlignment="1">
      <alignment vertical="top"/>
    </xf>
    <xf numFmtId="0" fontId="2" fillId="2" borderId="0" xfId="0" applyFont="1" applyFill="1" applyAlignment="1">
      <alignment vertical="top" wrapText="1"/>
    </xf>
    <xf numFmtId="0" fontId="3" fillId="2" borderId="0" xfId="0" applyFont="1" applyFill="1" applyAlignment="1">
      <alignment horizontal="left" indent="1"/>
    </xf>
    <xf numFmtId="0" fontId="0" fillId="0" borderId="0" xfId="0" applyAlignment="1">
      <alignment horizontal="right"/>
    </xf>
    <xf numFmtId="0" fontId="28" fillId="0" borderId="0" xfId="0" applyFont="1"/>
    <xf numFmtId="0" fontId="22" fillId="0" borderId="0" xfId="1"/>
    <xf numFmtId="0" fontId="0" fillId="8" borderId="0" xfId="0" applyFill="1"/>
    <xf numFmtId="0" fontId="28" fillId="0" borderId="0" xfId="0" applyFont="1" applyAlignment="1">
      <alignment horizontal="left" indent="1"/>
    </xf>
    <xf numFmtId="0" fontId="28" fillId="0" borderId="0" xfId="0" applyFont="1" applyAlignment="1">
      <alignment horizontal="left" indent="2"/>
    </xf>
    <xf numFmtId="0" fontId="29" fillId="0" borderId="0" xfId="0" applyFont="1"/>
    <xf numFmtId="0" fontId="1" fillId="0" borderId="15" xfId="0" applyFont="1" applyBorder="1"/>
    <xf numFmtId="0" fontId="19" fillId="0" borderId="0" xfId="0" applyFont="1"/>
    <xf numFmtId="0" fontId="27" fillId="8" borderId="0" xfId="0" applyFont="1" applyFill="1" applyAlignment="1">
      <alignment horizontal="center"/>
    </xf>
    <xf numFmtId="0" fontId="23" fillId="8" borderId="0" xfId="0" applyFont="1" applyFill="1" applyAlignment="1">
      <alignment horizontal="center"/>
    </xf>
    <xf numFmtId="0" fontId="3" fillId="2" borderId="2" xfId="0" applyFont="1" applyFill="1" applyBorder="1" applyAlignment="1">
      <alignment horizontal="left"/>
    </xf>
    <xf numFmtId="0" fontId="25" fillId="0" borderId="0" xfId="0" applyFont="1" applyAlignment="1">
      <alignment horizontal="center"/>
    </xf>
    <xf numFmtId="0" fontId="26" fillId="2" borderId="0" xfId="0" applyFont="1" applyFill="1" applyAlignment="1">
      <alignment horizontal="center"/>
    </xf>
    <xf numFmtId="0" fontId="1" fillId="2" borderId="0" xfId="0" applyFont="1" applyFill="1" applyAlignment="1">
      <alignment horizontal="left" vertical="top" wrapText="1"/>
    </xf>
    <xf numFmtId="0" fontId="10" fillId="0" borderId="21" xfId="0" applyFont="1" applyBorder="1" applyAlignment="1">
      <alignment horizontal="center"/>
    </xf>
    <xf numFmtId="0" fontId="10" fillId="0" borderId="0" xfId="0" applyFont="1" applyAlignment="1">
      <alignment horizontal="center"/>
    </xf>
    <xf numFmtId="0" fontId="1" fillId="6" borderId="13"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0" fontId="1" fillId="6" borderId="14" xfId="0" applyFont="1" applyFill="1" applyBorder="1" applyAlignment="1" applyProtection="1">
      <alignment horizontal="left"/>
      <protection locked="0"/>
    </xf>
    <xf numFmtId="0" fontId="1" fillId="5" borderId="13" xfId="0" applyFont="1" applyFill="1" applyBorder="1" applyAlignment="1">
      <alignment horizontal="center"/>
    </xf>
    <xf numFmtId="0" fontId="1" fillId="5" borderId="3" xfId="0" applyFont="1" applyFill="1" applyBorder="1" applyAlignment="1">
      <alignment horizontal="center"/>
    </xf>
    <xf numFmtId="0" fontId="1" fillId="5" borderId="14" xfId="0" applyFont="1" applyFill="1" applyBorder="1" applyAlignment="1">
      <alignment horizontal="center"/>
    </xf>
    <xf numFmtId="0" fontId="8" fillId="5" borderId="13" xfId="0" applyFont="1" applyFill="1" applyBorder="1" applyAlignment="1">
      <alignment horizontal="center"/>
    </xf>
    <xf numFmtId="0" fontId="1" fillId="2" borderId="17" xfId="0" applyFont="1" applyFill="1" applyBorder="1" applyAlignment="1">
      <alignment horizontal="center"/>
    </xf>
    <xf numFmtId="0" fontId="1" fillId="2" borderId="12" xfId="0" applyFont="1" applyFill="1" applyBorder="1" applyAlignment="1">
      <alignment horizontal="center"/>
    </xf>
  </cellXfs>
  <cellStyles count="5">
    <cellStyle name="Comma" xfId="2" builtinId="3"/>
    <cellStyle name="Currency" xfId="3" builtinId="4"/>
    <cellStyle name="Hyperlink" xfId="1" builtinId="8"/>
    <cellStyle name="Normal" xfId="0" builtinId="0"/>
    <cellStyle name="Percent" xfId="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770DBB05-7D70-4E3D-979A-8E98F9359005}"/>
  </tableStyles>
  <colors>
    <mruColors>
      <color rgb="FFE6A5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352425</xdr:colOff>
      <xdr:row>3</xdr:row>
      <xdr:rowOff>28575</xdr:rowOff>
    </xdr:from>
    <xdr:to>
      <xdr:col>7</xdr:col>
      <xdr:colOff>257175</xdr:colOff>
      <xdr:row>5</xdr:row>
      <xdr:rowOff>49649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9350" y="609600"/>
          <a:ext cx="1676400" cy="4211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tesjl@missouri.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25"/>
  <sheetViews>
    <sheetView showGridLines="0" showRowColHeaders="0" tabSelected="1" workbookViewId="0"/>
  </sheetViews>
  <sheetFormatPr defaultColWidth="8.85546875" defaultRowHeight="15" x14ac:dyDescent="0.25"/>
  <cols>
    <col min="1" max="1" width="4.42578125" customWidth="1"/>
    <col min="10" max="10" width="9" customWidth="1"/>
  </cols>
  <sheetData>
    <row r="2" spans="2:13" ht="15.75" x14ac:dyDescent="0.25">
      <c r="B2" s="452" t="s">
        <v>352</v>
      </c>
      <c r="C2" s="452"/>
      <c r="D2" s="452"/>
      <c r="E2" s="452"/>
      <c r="F2" s="452"/>
      <c r="G2" s="452"/>
      <c r="H2" s="452"/>
      <c r="I2" s="452"/>
      <c r="J2" s="452"/>
    </row>
    <row r="3" spans="2:13" x14ac:dyDescent="0.25">
      <c r="J3" s="443" t="s">
        <v>395</v>
      </c>
    </row>
    <row r="4" spans="2:13" ht="15.75" x14ac:dyDescent="0.25">
      <c r="B4" s="444" t="s">
        <v>353</v>
      </c>
      <c r="C4" s="444"/>
      <c r="D4" s="444"/>
      <c r="E4" s="444"/>
      <c r="F4" s="444"/>
      <c r="G4" s="444"/>
      <c r="H4" s="444"/>
      <c r="I4" s="444"/>
      <c r="J4" s="444"/>
    </row>
    <row r="5" spans="2:13" ht="15.75" x14ac:dyDescent="0.25">
      <c r="B5" s="445" t="s">
        <v>354</v>
      </c>
      <c r="C5" s="444"/>
      <c r="D5" s="444"/>
      <c r="E5" s="444"/>
      <c r="F5" s="444"/>
      <c r="G5" s="444"/>
      <c r="H5" s="444"/>
      <c r="I5" s="444"/>
      <c r="J5" s="444"/>
    </row>
    <row r="6" spans="2:13" ht="15.75" x14ac:dyDescent="0.25">
      <c r="B6" s="444"/>
      <c r="C6" s="444"/>
      <c r="D6" s="444"/>
      <c r="E6" s="444"/>
      <c r="F6" s="444"/>
      <c r="G6" s="444"/>
      <c r="H6" s="444"/>
      <c r="I6" s="444"/>
      <c r="J6" s="444"/>
    </row>
    <row r="7" spans="2:13" ht="15.75" x14ac:dyDescent="0.25">
      <c r="B7" s="444" t="s">
        <v>357</v>
      </c>
      <c r="C7" s="444"/>
      <c r="D7" s="444"/>
      <c r="E7" s="444"/>
      <c r="F7" s="444"/>
      <c r="G7" s="444"/>
      <c r="H7" s="444"/>
      <c r="I7" s="444"/>
      <c r="J7" s="444"/>
    </row>
    <row r="8" spans="2:13" ht="15.75" x14ac:dyDescent="0.25">
      <c r="B8" s="444" t="s">
        <v>388</v>
      </c>
      <c r="C8" s="444"/>
      <c r="D8" s="444"/>
      <c r="E8" s="444"/>
      <c r="F8" s="444"/>
      <c r="G8" s="444"/>
      <c r="H8" s="444"/>
      <c r="I8" s="444"/>
      <c r="J8" s="444"/>
    </row>
    <row r="9" spans="2:13" ht="15.75" x14ac:dyDescent="0.25">
      <c r="B9" s="444"/>
      <c r="C9" s="444"/>
      <c r="D9" s="444"/>
      <c r="E9" s="444"/>
      <c r="F9" s="444"/>
      <c r="G9" s="444"/>
      <c r="H9" s="444"/>
      <c r="I9" s="444"/>
      <c r="J9" s="444"/>
    </row>
    <row r="10" spans="2:13" ht="3" customHeight="1" x14ac:dyDescent="0.25">
      <c r="B10" s="446"/>
      <c r="C10" s="446"/>
      <c r="D10" s="446"/>
      <c r="E10" s="446"/>
      <c r="F10" s="446"/>
      <c r="G10" s="446"/>
      <c r="H10" s="446"/>
      <c r="I10" s="446"/>
      <c r="J10" s="446"/>
    </row>
    <row r="12" spans="2:13" ht="15.75" x14ac:dyDescent="0.25">
      <c r="B12" s="449" t="s">
        <v>252</v>
      </c>
      <c r="C12" s="444"/>
      <c r="D12" s="444"/>
      <c r="E12" s="444"/>
      <c r="F12" s="444"/>
      <c r="G12" s="444"/>
      <c r="H12" s="444"/>
      <c r="I12" s="444"/>
      <c r="J12" s="444"/>
    </row>
    <row r="13" spans="2:13" ht="15.75" x14ac:dyDescent="0.25">
      <c r="B13" s="447" t="s">
        <v>387</v>
      </c>
      <c r="C13" s="444"/>
      <c r="D13" s="444"/>
      <c r="E13" s="444"/>
      <c r="F13" s="444"/>
      <c r="G13" s="444"/>
      <c r="H13" s="444"/>
      <c r="I13" s="444"/>
      <c r="J13" s="444"/>
      <c r="M13" s="1"/>
    </row>
    <row r="14" spans="2:13" ht="15.75" x14ac:dyDescent="0.25">
      <c r="B14" s="447" t="s">
        <v>253</v>
      </c>
      <c r="C14" s="444"/>
      <c r="D14" s="444"/>
      <c r="E14" s="444"/>
      <c r="F14" s="444"/>
      <c r="G14" s="444"/>
      <c r="H14" s="444"/>
      <c r="I14" s="444"/>
      <c r="J14" s="444"/>
      <c r="M14" s="1"/>
    </row>
    <row r="15" spans="2:13" ht="15.75" x14ac:dyDescent="0.25">
      <c r="B15" s="444"/>
      <c r="C15" s="444"/>
      <c r="D15" s="444"/>
      <c r="E15" s="444"/>
      <c r="F15" s="444"/>
      <c r="G15" s="444"/>
      <c r="H15" s="444"/>
      <c r="I15" s="444"/>
      <c r="J15" s="444"/>
    </row>
    <row r="16" spans="2:13" ht="15.75" x14ac:dyDescent="0.25">
      <c r="B16" s="449" t="s">
        <v>254</v>
      </c>
      <c r="C16" s="444"/>
      <c r="D16" s="444"/>
      <c r="E16" s="444"/>
      <c r="F16" s="444"/>
      <c r="G16" s="444"/>
      <c r="H16" s="444"/>
      <c r="I16" s="444"/>
      <c r="J16" s="444"/>
      <c r="M16" s="1"/>
    </row>
    <row r="17" spans="2:10" ht="15.75" x14ac:dyDescent="0.25">
      <c r="B17" s="447" t="s">
        <v>355</v>
      </c>
      <c r="C17" s="444"/>
      <c r="D17" s="444"/>
      <c r="E17" s="444"/>
      <c r="F17" s="444"/>
      <c r="G17" s="444"/>
      <c r="H17" s="444"/>
      <c r="I17" s="444"/>
      <c r="J17" s="444"/>
    </row>
    <row r="18" spans="2:10" ht="15.75" x14ac:dyDescent="0.25">
      <c r="B18" s="447" t="s">
        <v>255</v>
      </c>
      <c r="C18" s="444"/>
      <c r="D18" s="444"/>
      <c r="E18" s="444"/>
      <c r="F18" s="444"/>
      <c r="G18" s="444"/>
      <c r="H18" s="444"/>
      <c r="I18" s="444"/>
      <c r="J18" s="444"/>
    </row>
    <row r="19" spans="2:10" ht="15.75" x14ac:dyDescent="0.25">
      <c r="B19" s="448" t="s">
        <v>356</v>
      </c>
      <c r="C19" s="444"/>
      <c r="D19" s="444"/>
      <c r="E19" s="444"/>
      <c r="F19" s="444"/>
      <c r="G19" s="444"/>
      <c r="H19" s="444"/>
      <c r="I19" s="444"/>
      <c r="J19" s="444"/>
    </row>
    <row r="20" spans="2:10" ht="15.75" x14ac:dyDescent="0.25">
      <c r="B20" s="447" t="s">
        <v>358</v>
      </c>
      <c r="C20" s="444"/>
      <c r="D20" s="444"/>
      <c r="E20" s="444"/>
      <c r="F20" s="444"/>
      <c r="G20" s="444"/>
      <c r="H20" s="444"/>
      <c r="I20" s="444"/>
      <c r="J20" s="444"/>
    </row>
    <row r="21" spans="2:10" ht="15.75" x14ac:dyDescent="0.25">
      <c r="B21" s="368"/>
      <c r="C21" s="368"/>
      <c r="D21" s="368"/>
      <c r="E21" s="368"/>
      <c r="F21" s="368"/>
      <c r="G21" s="368"/>
      <c r="H21" s="368"/>
      <c r="I21" s="368"/>
      <c r="J21" s="368"/>
    </row>
    <row r="22" spans="2:10" x14ac:dyDescent="0.25">
      <c r="B22" s="453"/>
      <c r="C22" s="453"/>
      <c r="D22" s="453"/>
      <c r="E22" s="453"/>
      <c r="F22" s="453"/>
      <c r="G22" s="453"/>
      <c r="H22" s="453"/>
      <c r="I22" s="453"/>
      <c r="J22" s="453"/>
    </row>
    <row r="23" spans="2:10" x14ac:dyDescent="0.25">
      <c r="C23" s="1"/>
    </row>
    <row r="24" spans="2:10" x14ac:dyDescent="0.25">
      <c r="C24" s="1"/>
    </row>
    <row r="25" spans="2:10" x14ac:dyDescent="0.25">
      <c r="C25" s="1"/>
    </row>
  </sheetData>
  <sheetProtection sheet="1" objects="1" scenarios="1"/>
  <mergeCells count="2">
    <mergeCell ref="B2:J2"/>
    <mergeCell ref="B22:J22"/>
  </mergeCells>
  <hyperlinks>
    <hyperlink ref="B5"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1:N54"/>
  <sheetViews>
    <sheetView showGridLines="0" zoomScaleNormal="100" workbookViewId="0"/>
  </sheetViews>
  <sheetFormatPr defaultColWidth="9.140625" defaultRowHeight="15" x14ac:dyDescent="0.25"/>
  <cols>
    <col min="1" max="1" width="9.140625" style="1"/>
    <col min="2" max="3" width="5.42578125" style="1" customWidth="1"/>
    <col min="4" max="4" width="6" style="1" customWidth="1"/>
    <col min="5" max="5" width="35.7109375" style="1" customWidth="1"/>
    <col min="6" max="6" width="7.85546875" style="1" hidden="1" customWidth="1"/>
    <col min="7" max="7" width="5.42578125" style="1" hidden="1" customWidth="1"/>
    <col min="8" max="8" width="5.140625" style="1" hidden="1" customWidth="1"/>
    <col min="9" max="9" width="4.7109375" style="2" hidden="1" customWidth="1"/>
    <col min="10" max="10" width="14.28515625" style="1" customWidth="1"/>
    <col min="11" max="11" width="15.42578125" style="1" customWidth="1"/>
    <col min="12" max="12" width="17.42578125" style="1" customWidth="1"/>
    <col min="13" max="13" width="10.140625" style="1" bestFit="1" customWidth="1"/>
    <col min="14" max="14" width="11.7109375" style="1" customWidth="1"/>
    <col min="15" max="16384" width="9.140625" style="1"/>
  </cols>
  <sheetData>
    <row r="1" spans="2:14" x14ac:dyDescent="0.25">
      <c r="B1" s="363"/>
    </row>
    <row r="2" spans="2:14" x14ac:dyDescent="0.25">
      <c r="C2" s="167"/>
      <c r="D2" s="167"/>
      <c r="E2" s="167"/>
      <c r="F2" s="3"/>
      <c r="G2" s="167"/>
      <c r="H2" s="167"/>
      <c r="I2" s="219"/>
      <c r="J2" s="167"/>
      <c r="K2" s="167"/>
      <c r="L2" s="167"/>
      <c r="M2" s="3"/>
      <c r="N2" s="442"/>
    </row>
    <row r="3" spans="2:14" ht="18.75" x14ac:dyDescent="0.3">
      <c r="B3" s="455" t="str">
        <f>CONCATENATE("Goat - ", 'Flock Assumptions'!C2)</f>
        <v>Goat - Early Kidding, Sell at Weaning</v>
      </c>
      <c r="C3" s="455"/>
      <c r="D3" s="455"/>
      <c r="E3" s="455"/>
      <c r="F3" s="455"/>
      <c r="G3" s="455"/>
      <c r="H3" s="455"/>
      <c r="I3" s="455"/>
      <c r="J3" s="455"/>
      <c r="K3" s="455"/>
      <c r="L3" s="455"/>
      <c r="M3" s="3"/>
    </row>
    <row r="4" spans="2:14" x14ac:dyDescent="0.25">
      <c r="B4" s="365"/>
      <c r="C4" s="167"/>
      <c r="D4" s="366"/>
      <c r="E4" s="167"/>
      <c r="G4" s="167"/>
      <c r="H4" s="167"/>
      <c r="I4" s="219"/>
      <c r="J4" s="167"/>
      <c r="K4" s="167"/>
      <c r="L4" s="167"/>
      <c r="M4" s="3"/>
    </row>
    <row r="5" spans="2:14" x14ac:dyDescent="0.25">
      <c r="B5" s="454" t="str">
        <f>CONCATENATE("Table 1. Missouri meat goat planning budget for ",'Flock Assumptions'!C1,": ",'Flock Assumptions'!C2,". (",'Flock Assumptions'!D8," does, ",'Flock Assumptions'!D16*100,"% kidding rate)")</f>
        <v>Table 1. Missouri meat goat planning budget for 2024: Early Kidding, Sell at Weaning. (50 does, 157% kidding rate)</v>
      </c>
      <c r="C5" s="454"/>
      <c r="D5" s="454"/>
      <c r="E5" s="454"/>
      <c r="F5" s="454"/>
      <c r="G5" s="454"/>
      <c r="H5" s="454"/>
      <c r="I5" s="454"/>
      <c r="J5" s="454"/>
      <c r="K5" s="454"/>
      <c r="L5" s="454"/>
      <c r="M5" s="3"/>
    </row>
    <row r="6" spans="2:14" x14ac:dyDescent="0.25">
      <c r="B6" s="167"/>
      <c r="C6" s="167"/>
      <c r="D6" s="167"/>
      <c r="E6" s="167"/>
      <c r="F6" s="167"/>
      <c r="G6" s="167"/>
      <c r="H6" s="167"/>
      <c r="I6" s="219"/>
      <c r="J6" s="224"/>
      <c r="K6" s="224"/>
      <c r="L6" s="224"/>
      <c r="M6" s="3"/>
    </row>
    <row r="7" spans="2:14" x14ac:dyDescent="0.25">
      <c r="B7" s="167"/>
      <c r="C7" s="167"/>
      <c r="D7" s="167"/>
      <c r="E7" s="167"/>
      <c r="F7" s="73" t="s">
        <v>340</v>
      </c>
      <c r="G7" s="73" t="s">
        <v>219</v>
      </c>
      <c r="H7" s="73" t="s">
        <v>96</v>
      </c>
      <c r="I7" s="73" t="s">
        <v>157</v>
      </c>
      <c r="J7" s="224"/>
      <c r="K7" s="224"/>
      <c r="L7" s="225" t="s">
        <v>146</v>
      </c>
      <c r="M7" s="3"/>
    </row>
    <row r="8" spans="2:14" x14ac:dyDescent="0.25">
      <c r="B8" s="167" t="s">
        <v>368</v>
      </c>
      <c r="C8" s="167"/>
      <c r="D8" s="167"/>
      <c r="E8" s="167"/>
      <c r="F8" s="3"/>
      <c r="G8" s="3"/>
      <c r="H8" s="3"/>
      <c r="I8" s="7"/>
      <c r="J8" s="383" t="s">
        <v>369</v>
      </c>
      <c r="K8" s="383" t="s">
        <v>26</v>
      </c>
      <c r="L8" s="3"/>
      <c r="M8" s="3"/>
    </row>
    <row r="9" spans="2:14" x14ac:dyDescent="0.25">
      <c r="B9" s="227" t="s">
        <v>337</v>
      </c>
      <c r="C9" s="228" t="s">
        <v>377</v>
      </c>
      <c r="D9" s="228"/>
      <c r="E9" s="228"/>
      <c r="F9" s="229">
        <f>SUM('Flock Assumptions'!I8:I9)</f>
        <v>1.5</v>
      </c>
      <c r="G9" s="230">
        <f>AVERAGE('Flock Assumptions'!C24:C25)</f>
        <v>55</v>
      </c>
      <c r="H9" s="231" t="s">
        <v>151</v>
      </c>
      <c r="I9" s="317">
        <f>AVERAGE('Flock Assumptions'!D24:D25)</f>
        <v>2.915</v>
      </c>
      <c r="J9" s="386">
        <f>'Flock Assumptions'!J8</f>
        <v>71.567999999999984</v>
      </c>
      <c r="K9" s="387">
        <f>J9*'Flock Assumptions'!$D$8</f>
        <v>3578.3999999999992</v>
      </c>
      <c r="L9" s="233"/>
      <c r="M9" s="3"/>
    </row>
    <row r="10" spans="2:14" x14ac:dyDescent="0.25">
      <c r="B10" s="227"/>
      <c r="C10" s="228" t="s">
        <v>376</v>
      </c>
      <c r="D10" s="228"/>
      <c r="E10" s="228"/>
      <c r="F10" s="229"/>
      <c r="G10" s="230"/>
      <c r="H10" s="231"/>
      <c r="I10" s="317"/>
      <c r="J10" s="386">
        <f>'Flock Assumptions'!J9</f>
        <v>161.46</v>
      </c>
      <c r="K10" s="387">
        <f>J10*'Flock Assumptions'!$D$8</f>
        <v>8073</v>
      </c>
      <c r="L10" s="233"/>
      <c r="M10" s="3"/>
    </row>
    <row r="11" spans="2:14" x14ac:dyDescent="0.25">
      <c r="B11" s="227" t="s">
        <v>341</v>
      </c>
      <c r="C11" s="234" t="s">
        <v>342</v>
      </c>
      <c r="D11" s="228"/>
      <c r="E11" s="228"/>
      <c r="F11" s="231">
        <f>'Flock Assumptions'!D10</f>
        <v>0.14000000000000001</v>
      </c>
      <c r="G11" s="230">
        <f>'Flock Assumptions'!C27</f>
        <v>125</v>
      </c>
      <c r="H11" s="231" t="s">
        <v>151</v>
      </c>
      <c r="I11" s="317">
        <f>'Flock Assumptions'!D27</f>
        <v>1.6</v>
      </c>
      <c r="J11" s="388">
        <f>'Flock Assumptions'!J10</f>
        <v>28.000000000000004</v>
      </c>
      <c r="K11" s="387">
        <f>J11*'Flock Assumptions'!$D$8</f>
        <v>1400.0000000000002</v>
      </c>
      <c r="L11" s="235"/>
      <c r="M11" s="3"/>
    </row>
    <row r="12" spans="2:14" x14ac:dyDescent="0.25">
      <c r="B12" s="227"/>
      <c r="C12" s="234" t="s">
        <v>375</v>
      </c>
      <c r="D12" s="228"/>
      <c r="E12" s="228"/>
      <c r="F12" s="231">
        <f>'Flock Assumptions'!D11</f>
        <v>2</v>
      </c>
      <c r="G12" s="230">
        <f>'Flock Assumptions'!C28</f>
        <v>175</v>
      </c>
      <c r="H12" s="231" t="s">
        <v>151</v>
      </c>
      <c r="I12" s="317">
        <f>'Flock Assumptions'!D28</f>
        <v>1.55</v>
      </c>
      <c r="J12" s="388">
        <f>'Flock Assumptions'!J11</f>
        <v>5.4249999999999998</v>
      </c>
      <c r="K12" s="387">
        <f>J12*'Flock Assumptions'!$D$8</f>
        <v>271.25</v>
      </c>
      <c r="L12" s="235"/>
      <c r="M12" s="3"/>
    </row>
    <row r="13" spans="2:14" x14ac:dyDescent="0.25">
      <c r="B13" s="167"/>
      <c r="C13" s="237" t="s">
        <v>88</v>
      </c>
      <c r="D13" s="237"/>
      <c r="E13" s="237"/>
      <c r="F13" s="238"/>
      <c r="G13" s="238"/>
      <c r="H13" s="239"/>
      <c r="I13" s="240"/>
      <c r="J13" s="389">
        <f>SUM(J9:J12)</f>
        <v>266.45300000000003</v>
      </c>
      <c r="K13" s="389">
        <f>SUM(K9:K12)</f>
        <v>13322.65</v>
      </c>
      <c r="L13" s="241"/>
      <c r="M13" s="3"/>
    </row>
    <row r="14" spans="2:14" x14ac:dyDescent="0.25">
      <c r="B14" s="167"/>
      <c r="C14" s="167"/>
      <c r="D14" s="167"/>
      <c r="E14" s="167"/>
      <c r="F14" s="242"/>
      <c r="G14" s="242"/>
      <c r="H14" s="243"/>
      <c r="I14" s="244"/>
      <c r="J14" s="383"/>
      <c r="K14" s="383"/>
      <c r="L14" s="226"/>
      <c r="M14" s="3"/>
      <c r="N14" s="2"/>
    </row>
    <row r="15" spans="2:14" x14ac:dyDescent="0.25">
      <c r="B15" s="167" t="s">
        <v>49</v>
      </c>
      <c r="C15" s="167"/>
      <c r="D15" s="167"/>
      <c r="E15" s="167"/>
      <c r="F15" s="245"/>
      <c r="G15" s="243"/>
      <c r="H15" s="243"/>
      <c r="I15" s="244"/>
      <c r="J15" s="383" t="s">
        <v>369</v>
      </c>
      <c r="K15" s="383" t="s">
        <v>26</v>
      </c>
      <c r="L15" s="167"/>
      <c r="M15" s="3"/>
    </row>
    <row r="16" spans="2:14" x14ac:dyDescent="0.25">
      <c r="B16" s="167"/>
      <c r="C16" s="228" t="s">
        <v>327</v>
      </c>
      <c r="D16" s="228"/>
      <c r="E16" s="228"/>
      <c r="F16" s="304">
        <f>'Flock Assumptions'!D10+'Flock Assumptions'!D13</f>
        <v>0.16</v>
      </c>
      <c r="G16" s="246" t="s">
        <v>207</v>
      </c>
      <c r="H16" s="231" t="s">
        <v>164</v>
      </c>
      <c r="I16" s="318">
        <f>'Flock Assumptions'!D39</f>
        <v>210</v>
      </c>
      <c r="J16" s="386">
        <f>'Flock Assumptions'!I16</f>
        <v>33.6</v>
      </c>
      <c r="K16" s="387">
        <f>J16*'Flock Assumptions'!$D$8</f>
        <v>1680</v>
      </c>
      <c r="L16" s="233"/>
      <c r="M16" s="3"/>
    </row>
    <row r="17" spans="2:14" x14ac:dyDescent="0.25">
      <c r="B17" s="167"/>
      <c r="C17" s="234" t="s">
        <v>379</v>
      </c>
      <c r="D17" s="234"/>
      <c r="E17" s="234"/>
      <c r="F17" s="247">
        <f>'Flock Assumptions'!D11/'Flock Assumptions'!D8</f>
        <v>0.04</v>
      </c>
      <c r="G17" s="248" t="s">
        <v>207</v>
      </c>
      <c r="H17" s="249" t="s">
        <v>164</v>
      </c>
      <c r="I17" s="319">
        <f>'Flock Assumptions'!D40-'Flock Assumptions'!H11</f>
        <v>-1.25</v>
      </c>
      <c r="J17" s="388">
        <f>'Flock Assumptions'!I15+'Health Assumptions'!F28</f>
        <v>6.4</v>
      </c>
      <c r="K17" s="387">
        <f>J17*'Flock Assumptions'!$D$8</f>
        <v>320</v>
      </c>
      <c r="L17" s="250"/>
      <c r="M17" s="3"/>
    </row>
    <row r="18" spans="2:14" x14ac:dyDescent="0.25">
      <c r="B18" s="167"/>
      <c r="C18" s="234" t="s">
        <v>117</v>
      </c>
      <c r="D18" s="234"/>
      <c r="E18" s="234"/>
      <c r="F18" s="251"/>
      <c r="G18" s="252">
        <f>'Flock Assumptions'!J35/'Flock Assumptions'!D8</f>
        <v>0.74250000000000005</v>
      </c>
      <c r="H18" s="253" t="s">
        <v>152</v>
      </c>
      <c r="I18" s="317">
        <f>('Feed Assumptions'!C37*'Cost Assumptions'!D7)+('Feed Assumptions'!C38*'Cost Assumptions'!D8)</f>
        <v>32.553571428571431</v>
      </c>
      <c r="J18" s="388">
        <f>'Feed Assumptions'!F39</f>
        <v>18.5625</v>
      </c>
      <c r="K18" s="387">
        <f>J18*'Flock Assumptions'!$D$8</f>
        <v>928.125</v>
      </c>
      <c r="L18" s="235"/>
      <c r="M18" s="3"/>
      <c r="N18" s="2"/>
    </row>
    <row r="19" spans="2:14" x14ac:dyDescent="0.25">
      <c r="B19" s="167"/>
      <c r="C19" s="234" t="s">
        <v>21</v>
      </c>
      <c r="D19" s="234"/>
      <c r="E19" s="234"/>
      <c r="F19" s="251"/>
      <c r="G19" s="254">
        <f>'Feed Assumptions'!F48/'Flock Assumptions'!D8</f>
        <v>435.31050000000005</v>
      </c>
      <c r="H19" s="249" t="s">
        <v>151</v>
      </c>
      <c r="I19" s="320">
        <f>'Feed Assumptions'!G60</f>
        <v>8.0049077038114175E-2</v>
      </c>
      <c r="J19" s="388">
        <f>'Feed Assumptions'!H48</f>
        <v>34.846203750000001</v>
      </c>
      <c r="K19" s="387">
        <f>J19*'Flock Assumptions'!$D$8</f>
        <v>1742.3101875</v>
      </c>
      <c r="L19" s="250"/>
      <c r="M19" s="3"/>
      <c r="N19" s="2"/>
    </row>
    <row r="20" spans="2:14" x14ac:dyDescent="0.25">
      <c r="B20" s="167"/>
      <c r="C20" s="234" t="s">
        <v>123</v>
      </c>
      <c r="D20" s="228"/>
      <c r="E20" s="228"/>
      <c r="F20" s="255"/>
      <c r="G20" s="256">
        <f>'Feed Assumptions'!F54/'Flock Assumptions'!D8</f>
        <v>58.720577999999996</v>
      </c>
      <c r="H20" s="249" t="s">
        <v>151</v>
      </c>
      <c r="I20" s="321">
        <f>'Feed Assumptions'!G61</f>
        <v>0.10696501488796654</v>
      </c>
      <c r="J20" s="388">
        <f>'Feed Assumptions'!H54</f>
        <v>6.2810474999999997</v>
      </c>
      <c r="K20" s="387">
        <f>J20*'Flock Assumptions'!$D$8</f>
        <v>314.05237499999998</v>
      </c>
      <c r="L20" s="250"/>
      <c r="M20" s="3"/>
      <c r="N20" s="2"/>
    </row>
    <row r="21" spans="2:14" x14ac:dyDescent="0.25">
      <c r="B21" s="167"/>
      <c r="C21" s="234" t="s">
        <v>124</v>
      </c>
      <c r="D21" s="167"/>
      <c r="E21" s="167"/>
      <c r="F21" s="257"/>
      <c r="G21" s="258">
        <f>'Feed Assumptions'!F56/100</f>
        <v>4.4278000000000013</v>
      </c>
      <c r="H21" s="249" t="s">
        <v>151</v>
      </c>
      <c r="I21" s="321">
        <f>'Cost Assumptions'!D16/100</f>
        <v>0.5</v>
      </c>
      <c r="J21" s="388">
        <f>'Feed Assumptions'!H56</f>
        <v>4.4278000000000013</v>
      </c>
      <c r="K21" s="387">
        <f>J21*'Flock Assumptions'!$D$8</f>
        <v>221.39000000000007</v>
      </c>
      <c r="L21" s="250"/>
      <c r="M21" s="3"/>
    </row>
    <row r="22" spans="2:14" x14ac:dyDescent="0.25">
      <c r="B22" s="167"/>
      <c r="C22" s="234" t="s">
        <v>194</v>
      </c>
      <c r="D22" s="234"/>
      <c r="E22" s="234"/>
      <c r="F22" s="247"/>
      <c r="G22" s="247"/>
      <c r="H22" s="247"/>
      <c r="I22" s="259"/>
      <c r="J22" s="388">
        <f>'Health Assumptions'!G23</f>
        <v>6.4518000000000004</v>
      </c>
      <c r="K22" s="387">
        <f>J22*'Flock Assumptions'!$D$8</f>
        <v>322.59000000000003</v>
      </c>
      <c r="L22" s="250"/>
      <c r="M22" s="3"/>
    </row>
    <row r="23" spans="2:14" x14ac:dyDescent="0.25">
      <c r="B23" s="167"/>
      <c r="C23" s="260" t="s">
        <v>195</v>
      </c>
      <c r="D23" s="260"/>
      <c r="E23" s="260"/>
      <c r="F23" s="236"/>
      <c r="G23" s="236"/>
      <c r="H23" s="236"/>
      <c r="I23" s="261"/>
      <c r="J23" s="388">
        <f>'Flock Assumptions'!I17+'Health Assumptions'!F32</f>
        <v>12.0722</v>
      </c>
      <c r="K23" s="387">
        <f>J23*'Flock Assumptions'!$D$8</f>
        <v>603.61</v>
      </c>
      <c r="L23" s="250"/>
      <c r="M23" s="3"/>
    </row>
    <row r="24" spans="2:14" x14ac:dyDescent="0.25">
      <c r="B24" s="167"/>
      <c r="C24" s="234" t="s">
        <v>193</v>
      </c>
      <c r="D24" s="234"/>
      <c r="E24" s="234"/>
      <c r="F24" s="247"/>
      <c r="G24" s="247"/>
      <c r="H24" s="247"/>
      <c r="I24" s="259"/>
      <c r="J24" s="388">
        <f>'Health Assumptions'!F31+'Health Assumptions'!F29</f>
        <v>3.25</v>
      </c>
      <c r="K24" s="387">
        <f>J24*'Flock Assumptions'!$D$8</f>
        <v>162.5</v>
      </c>
      <c r="L24" s="250"/>
      <c r="M24" s="3"/>
    </row>
    <row r="25" spans="2:14" x14ac:dyDescent="0.25">
      <c r="B25" s="167"/>
      <c r="C25" s="234" t="s">
        <v>50</v>
      </c>
      <c r="D25" s="234"/>
      <c r="E25" s="234"/>
      <c r="F25" s="247"/>
      <c r="G25" s="247"/>
      <c r="H25" s="247"/>
      <c r="I25" s="259"/>
      <c r="J25" s="388">
        <f>'Health Assumptions'!F30</f>
        <v>19.983975000000001</v>
      </c>
      <c r="K25" s="387">
        <f>J25*'Flock Assumptions'!$D$8</f>
        <v>999.19875000000002</v>
      </c>
      <c r="L25" s="250"/>
      <c r="M25" s="3"/>
    </row>
    <row r="26" spans="2:14" x14ac:dyDescent="0.25">
      <c r="B26" s="167"/>
      <c r="C26" s="260" t="s">
        <v>336</v>
      </c>
      <c r="D26" s="234"/>
      <c r="E26" s="234"/>
      <c r="F26" s="247"/>
      <c r="G26" s="247"/>
      <c r="H26" s="247"/>
      <c r="I26" s="259"/>
      <c r="J26" s="399">
        <f>'Health Assumptions'!F33</f>
        <v>0</v>
      </c>
      <c r="K26" s="387">
        <f>J26*'Flock Assumptions'!$D$8</f>
        <v>0</v>
      </c>
      <c r="L26" s="250"/>
      <c r="M26" s="3"/>
    </row>
    <row r="27" spans="2:14" x14ac:dyDescent="0.25">
      <c r="B27" s="167"/>
      <c r="C27" s="234" t="s">
        <v>154</v>
      </c>
      <c r="D27" s="234"/>
      <c r="E27" s="234"/>
      <c r="F27" s="247"/>
      <c r="G27" s="247"/>
      <c r="H27" s="247"/>
      <c r="I27" s="259"/>
      <c r="J27" s="388">
        <f>'Buildings &amp; Machinery'!G51</f>
        <v>14.029689600000001</v>
      </c>
      <c r="K27" s="387">
        <f>J27*'Flock Assumptions'!$D$8</f>
        <v>701.48448000000008</v>
      </c>
      <c r="L27" s="250"/>
      <c r="M27" s="3"/>
    </row>
    <row r="28" spans="2:14" x14ac:dyDescent="0.25">
      <c r="B28" s="167"/>
      <c r="C28" s="234" t="s">
        <v>141</v>
      </c>
      <c r="D28" s="234"/>
      <c r="E28" s="234"/>
      <c r="F28" s="247"/>
      <c r="G28" s="247"/>
      <c r="H28" s="247"/>
      <c r="I28" s="259"/>
      <c r="J28" s="388">
        <f>'Buildings &amp; Machinery'!G50</f>
        <v>3.9</v>
      </c>
      <c r="K28" s="387">
        <f>J28*'Flock Assumptions'!$D$8</f>
        <v>195</v>
      </c>
      <c r="L28" s="250"/>
      <c r="M28" s="3"/>
    </row>
    <row r="29" spans="2:14" x14ac:dyDescent="0.25">
      <c r="B29" s="167"/>
      <c r="C29" s="234" t="s">
        <v>116</v>
      </c>
      <c r="D29" s="234"/>
      <c r="E29" s="234"/>
      <c r="F29" s="247"/>
      <c r="G29" s="258">
        <f>'Cost Assumptions'!D28*100</f>
        <v>9</v>
      </c>
      <c r="H29" s="249" t="s">
        <v>220</v>
      </c>
      <c r="I29" s="262"/>
      <c r="J29" s="388">
        <f>'Health Assumptions'!K13</f>
        <v>7.2956187573749993</v>
      </c>
      <c r="K29" s="387">
        <f>J29*'Flock Assumptions'!$D$8</f>
        <v>364.78093786874996</v>
      </c>
      <c r="L29" s="250"/>
      <c r="M29" s="3"/>
    </row>
    <row r="30" spans="2:14" x14ac:dyDescent="0.25">
      <c r="B30" s="167"/>
      <c r="C30" s="234" t="s">
        <v>145</v>
      </c>
      <c r="D30" s="234"/>
      <c r="E30" s="234"/>
      <c r="F30" s="247"/>
      <c r="G30" s="247">
        <f>'Health Assumptions'!L30/'Flock Assumptions'!D8</f>
        <v>2.87</v>
      </c>
      <c r="H30" s="249" t="s">
        <v>218</v>
      </c>
      <c r="I30" s="317">
        <f>'Cost Assumptions'!D20</f>
        <v>17.7</v>
      </c>
      <c r="J30" s="388">
        <f>'Health Assumptions'!M30</f>
        <v>50.798999999999999</v>
      </c>
      <c r="K30" s="387">
        <f>J30*'Flock Assumptions'!$D$8</f>
        <v>2539.9499999999998</v>
      </c>
      <c r="L30" s="250"/>
      <c r="M30" s="3"/>
    </row>
    <row r="31" spans="2:14" x14ac:dyDescent="0.25">
      <c r="B31" s="167"/>
      <c r="C31" s="237" t="s">
        <v>49</v>
      </c>
      <c r="D31" s="237"/>
      <c r="E31" s="237"/>
      <c r="F31" s="238"/>
      <c r="G31" s="238"/>
      <c r="H31" s="238"/>
      <c r="I31" s="240"/>
      <c r="J31" s="389">
        <f>SUM(J16:J30)</f>
        <v>221.89983460737503</v>
      </c>
      <c r="K31" s="389">
        <f>SUM(K16:K30)</f>
        <v>11094.991730368751</v>
      </c>
      <c r="L31" s="241"/>
      <c r="M31" s="3"/>
    </row>
    <row r="32" spans="2:14" x14ac:dyDescent="0.25">
      <c r="B32" s="167"/>
      <c r="C32" s="220"/>
      <c r="D32" s="220"/>
      <c r="E32" s="220"/>
      <c r="F32" s="263"/>
      <c r="G32" s="263"/>
      <c r="H32" s="263"/>
      <c r="I32" s="264"/>
      <c r="J32" s="390"/>
      <c r="K32" s="390"/>
      <c r="L32" s="265"/>
      <c r="M32" s="3"/>
    </row>
    <row r="33" spans="2:13" x14ac:dyDescent="0.25">
      <c r="B33" s="167" t="s">
        <v>51</v>
      </c>
      <c r="C33" s="167"/>
      <c r="D33" s="167"/>
      <c r="E33" s="167"/>
      <c r="F33" s="242"/>
      <c r="G33" s="242"/>
      <c r="H33" s="242"/>
      <c r="I33" s="244"/>
      <c r="J33" s="383" t="s">
        <v>369</v>
      </c>
      <c r="K33" s="383" t="s">
        <v>26</v>
      </c>
      <c r="L33" s="167"/>
      <c r="M33" s="3"/>
    </row>
    <row r="34" spans="2:13" x14ac:dyDescent="0.25">
      <c r="B34" s="167"/>
      <c r="C34" s="266" t="s">
        <v>153</v>
      </c>
      <c r="D34" s="266"/>
      <c r="E34" s="266"/>
      <c r="F34" s="267"/>
      <c r="G34" s="267"/>
      <c r="H34" s="267"/>
      <c r="I34" s="232"/>
      <c r="J34" s="386">
        <f>SUM('Health Assumptions'!F34:F36)</f>
        <v>4.5</v>
      </c>
      <c r="K34" s="387">
        <f>J34*'Flock Assumptions'!$D$8</f>
        <v>225</v>
      </c>
      <c r="L34" s="268"/>
      <c r="M34" s="3"/>
    </row>
    <row r="35" spans="2:13" x14ac:dyDescent="0.25">
      <c r="B35" s="167"/>
      <c r="C35" s="234" t="s">
        <v>247</v>
      </c>
      <c r="D35" s="234"/>
      <c r="E35" s="234"/>
      <c r="F35" s="247"/>
      <c r="G35" s="247"/>
      <c r="H35" s="247"/>
      <c r="I35" s="259"/>
      <c r="J35" s="388">
        <f>'Buildings &amp; Machinery'!F53</f>
        <v>3.512</v>
      </c>
      <c r="K35" s="387">
        <f>J35*'Flock Assumptions'!$D$8</f>
        <v>175.6</v>
      </c>
      <c r="L35" s="235"/>
      <c r="M35" s="3"/>
    </row>
    <row r="36" spans="2:13" x14ac:dyDescent="0.25">
      <c r="B36" s="167"/>
      <c r="C36" s="234" t="s">
        <v>142</v>
      </c>
      <c r="D36" s="234"/>
      <c r="E36" s="234"/>
      <c r="F36" s="247"/>
      <c r="G36" s="247"/>
      <c r="H36" s="247"/>
      <c r="I36" s="259"/>
      <c r="J36" s="388">
        <f>'Buildings &amp; Machinery'!E53</f>
        <v>21.123333333333335</v>
      </c>
      <c r="K36" s="387">
        <f>J36*'Flock Assumptions'!$D$8</f>
        <v>1056.1666666666667</v>
      </c>
      <c r="L36" s="250"/>
      <c r="M36" s="3"/>
    </row>
    <row r="37" spans="2:13" x14ac:dyDescent="0.25">
      <c r="B37" s="167"/>
      <c r="C37" s="234" t="s">
        <v>249</v>
      </c>
      <c r="D37" s="234"/>
      <c r="E37" s="234"/>
      <c r="F37" s="236"/>
      <c r="G37" s="322">
        <f>'Cost Assumptions'!D30*100</f>
        <v>5</v>
      </c>
      <c r="H37" s="323" t="s">
        <v>220</v>
      </c>
      <c r="I37" s="269"/>
      <c r="J37" s="388">
        <f>'Buildings &amp; Machinery'!D53</f>
        <v>26.3325</v>
      </c>
      <c r="K37" s="387">
        <f>J37*'Flock Assumptions'!$D$8</f>
        <v>1316.625</v>
      </c>
      <c r="L37" s="250"/>
      <c r="M37" s="3"/>
    </row>
    <row r="38" spans="2:13" x14ac:dyDescent="0.25">
      <c r="B38" s="167"/>
      <c r="C38" s="237" t="s">
        <v>51</v>
      </c>
      <c r="D38" s="237"/>
      <c r="E38" s="237"/>
      <c r="F38" s="238"/>
      <c r="G38" s="238"/>
      <c r="H38" s="238"/>
      <c r="I38" s="239"/>
      <c r="J38" s="389">
        <f>SUM(J34:J37)</f>
        <v>55.467833333333331</v>
      </c>
      <c r="K38" s="389">
        <f>SUM(K34:K37)</f>
        <v>2773.3916666666669</v>
      </c>
      <c r="L38" s="241"/>
      <c r="M38" s="3"/>
    </row>
    <row r="39" spans="2:13" x14ac:dyDescent="0.25">
      <c r="B39" s="167"/>
      <c r="C39" s="270"/>
      <c r="D39" s="270"/>
      <c r="E39" s="270"/>
      <c r="F39" s="270"/>
      <c r="G39" s="270"/>
      <c r="H39" s="270"/>
      <c r="I39" s="271"/>
      <c r="J39" s="383"/>
      <c r="K39" s="383"/>
      <c r="L39" s="270"/>
      <c r="M39" s="3"/>
    </row>
    <row r="40" spans="2:13" x14ac:dyDescent="0.25">
      <c r="B40" s="167"/>
      <c r="C40" s="272" t="s">
        <v>371</v>
      </c>
      <c r="D40" s="272"/>
      <c r="E40" s="272"/>
      <c r="F40" s="272"/>
      <c r="G40" s="272"/>
      <c r="H40" s="272"/>
      <c r="I40" s="273"/>
      <c r="J40" s="391">
        <f>J31+J38</f>
        <v>277.36766794070837</v>
      </c>
      <c r="K40" s="391">
        <f>K31+K38</f>
        <v>13868.383397035417</v>
      </c>
      <c r="L40" s="274"/>
      <c r="M40" s="3"/>
    </row>
    <row r="41" spans="2:13" x14ac:dyDescent="0.25">
      <c r="B41" s="167"/>
      <c r="C41" s="275"/>
      <c r="D41" s="275"/>
      <c r="E41" s="275"/>
      <c r="F41" s="275"/>
      <c r="G41" s="275"/>
      <c r="H41" s="275"/>
      <c r="I41" s="276"/>
      <c r="J41" s="383"/>
      <c r="K41" s="383"/>
      <c r="L41" s="277"/>
      <c r="M41" s="3"/>
    </row>
    <row r="42" spans="2:13" x14ac:dyDescent="0.25">
      <c r="B42" s="167"/>
      <c r="C42" s="228" t="s">
        <v>372</v>
      </c>
      <c r="D42" s="228"/>
      <c r="E42" s="228"/>
      <c r="F42" s="228"/>
      <c r="G42" s="228"/>
      <c r="H42" s="228"/>
      <c r="I42" s="278"/>
      <c r="J42" s="392">
        <f>J13-J31</f>
        <v>44.553165392625004</v>
      </c>
      <c r="K42" s="387">
        <f>J42*'Flock Assumptions'!$D$8</f>
        <v>2227.6582696312503</v>
      </c>
      <c r="L42" s="279"/>
      <c r="M42" s="437"/>
    </row>
    <row r="43" spans="2:13" x14ac:dyDescent="0.25">
      <c r="B43" s="167"/>
      <c r="C43" s="234" t="s">
        <v>373</v>
      </c>
      <c r="D43" s="234"/>
      <c r="E43" s="234"/>
      <c r="F43" s="234"/>
      <c r="G43" s="234"/>
      <c r="H43" s="234"/>
      <c r="I43" s="280"/>
      <c r="J43" s="394">
        <f>J13-J40</f>
        <v>-10.914667940708341</v>
      </c>
      <c r="K43" s="387">
        <f>J43*'Flock Assumptions'!$D$8</f>
        <v>-545.73339703541706</v>
      </c>
      <c r="L43" s="281"/>
      <c r="M43" s="3"/>
    </row>
    <row r="44" spans="2:13" x14ac:dyDescent="0.25">
      <c r="B44" s="167"/>
      <c r="C44" s="433"/>
      <c r="D44" s="433"/>
      <c r="E44" s="433"/>
      <c r="F44" s="433"/>
      <c r="G44" s="433"/>
      <c r="H44" s="433"/>
      <c r="I44" s="436"/>
      <c r="J44" s="383"/>
      <c r="K44" s="383"/>
      <c r="L44" s="433"/>
      <c r="M44" s="3"/>
    </row>
    <row r="45" spans="2:13" x14ac:dyDescent="0.25">
      <c r="B45" s="3"/>
      <c r="C45" s="228" t="s">
        <v>374</v>
      </c>
      <c r="D45" s="228"/>
      <c r="E45" s="228"/>
      <c r="F45" s="228"/>
      <c r="G45" s="228"/>
      <c r="H45" s="228"/>
      <c r="I45" s="278"/>
      <c r="J45" s="395">
        <f>J13-J40+J30</f>
        <v>39.884332059291658</v>
      </c>
      <c r="K45" s="387">
        <f>J45*'Flock Assumptions'!$D$8</f>
        <v>1994.216602964583</v>
      </c>
      <c r="L45" s="279"/>
      <c r="M45" s="3"/>
    </row>
    <row r="46" spans="2:13" x14ac:dyDescent="0.25">
      <c r="B46" s="3"/>
      <c r="C46" s="3" t="s">
        <v>338</v>
      </c>
      <c r="D46" s="3"/>
      <c r="E46" s="3"/>
      <c r="F46" s="3"/>
      <c r="G46" s="3"/>
      <c r="H46" s="3"/>
      <c r="I46" s="7"/>
      <c r="J46" s="396">
        <f>(J31-J11-J12)/(SUM('Flock Assumptions'!I8:I9)*SUMPRODUCT('Flock Assumptions'!C24:C25,'Flock Assumptions'!F24:F25))</f>
        <v>2.3797327601941292</v>
      </c>
      <c r="K46" s="393"/>
      <c r="L46" s="3"/>
      <c r="M46" s="3"/>
    </row>
    <row r="47" spans="2:13" x14ac:dyDescent="0.25">
      <c r="B47" s="3"/>
      <c r="C47" s="282" t="s">
        <v>339</v>
      </c>
      <c r="D47" s="282"/>
      <c r="E47" s="282"/>
      <c r="F47" s="282"/>
      <c r="G47" s="282"/>
      <c r="H47" s="282"/>
      <c r="I47" s="12"/>
      <c r="J47" s="397">
        <f>(J40-J11-J12)/(SUM('Flock Assumptions'!I8:I9)*SUMPRODUCT('Flock Assumptions'!C24:C25,'Flock Assumptions'!F24:F25))</f>
        <v>3.0800841911705605</v>
      </c>
      <c r="K47" s="398"/>
      <c r="L47" s="282"/>
      <c r="M47" s="3"/>
    </row>
    <row r="48" spans="2:13" ht="27.75" customHeight="1" x14ac:dyDescent="0.25">
      <c r="C48" s="1" t="s">
        <v>391</v>
      </c>
      <c r="M48" s="3"/>
    </row>
    <row r="49" spans="3:9" ht="12" customHeight="1" x14ac:dyDescent="0.25">
      <c r="C49" s="438" t="s">
        <v>394</v>
      </c>
    </row>
    <row r="50" spans="3:9" x14ac:dyDescent="0.25">
      <c r="I50" s="1"/>
    </row>
    <row r="51" spans="3:9" x14ac:dyDescent="0.25">
      <c r="I51" s="1"/>
    </row>
    <row r="52" spans="3:9" x14ac:dyDescent="0.25">
      <c r="I52" s="1"/>
    </row>
    <row r="53" spans="3:9" x14ac:dyDescent="0.25">
      <c r="I53" s="1"/>
    </row>
    <row r="54" spans="3:9" x14ac:dyDescent="0.25">
      <c r="I54" s="1"/>
    </row>
  </sheetData>
  <sheetProtection sheet="1" objects="1" scenarios="1"/>
  <mergeCells count="2">
    <mergeCell ref="B5:L5"/>
    <mergeCell ref="B3:L3"/>
  </mergeCells>
  <pageMargins left="0.7" right="0.7" top="0.75" bottom="0.75" header="0.3" footer="0.3"/>
  <pageSetup scale="90"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2:U49"/>
  <sheetViews>
    <sheetView showGridLines="0" zoomScaleNormal="100" workbookViewId="0"/>
  </sheetViews>
  <sheetFormatPr defaultColWidth="9.140625" defaultRowHeight="15" x14ac:dyDescent="0.25"/>
  <cols>
    <col min="1" max="1" width="5.42578125" style="1" customWidth="1"/>
    <col min="2" max="2" width="5.85546875" style="1" customWidth="1"/>
    <col min="3" max="3" width="5.42578125" style="1" customWidth="1"/>
    <col min="4" max="4" width="5.7109375" style="1" customWidth="1"/>
    <col min="5" max="5" width="22.85546875" style="1" customWidth="1"/>
    <col min="6" max="6" width="7.85546875" style="1" customWidth="1"/>
    <col min="7" max="7" width="6.28515625" style="1" customWidth="1"/>
    <col min="8" max="8" width="4" style="1" customWidth="1"/>
    <col min="9" max="9" width="8.42578125" style="2" customWidth="1"/>
    <col min="10" max="10" width="13.7109375" style="1" customWidth="1"/>
    <col min="11" max="11" width="14.28515625" style="1" customWidth="1"/>
    <col min="12" max="12" width="12" style="1" customWidth="1"/>
    <col min="13" max="13" width="2.5703125" style="1" customWidth="1"/>
    <col min="14" max="14" width="9.140625" style="1"/>
    <col min="15" max="15" width="3.85546875" style="1" customWidth="1"/>
    <col min="16" max="16" width="12.7109375" style="1" customWidth="1"/>
    <col min="17" max="17" width="11.7109375" style="1" customWidth="1"/>
    <col min="18" max="18" width="11.28515625" style="1" customWidth="1"/>
    <col min="19" max="21" width="11.7109375" style="1" customWidth="1"/>
    <col min="22" max="16384" width="9.140625" style="1"/>
  </cols>
  <sheetData>
    <row r="2" spans="2:21" x14ac:dyDescent="0.25">
      <c r="B2" s="167"/>
      <c r="C2" s="167"/>
      <c r="D2" s="167"/>
      <c r="E2" s="167"/>
      <c r="F2" s="3"/>
      <c r="G2" s="167"/>
      <c r="H2" s="167"/>
      <c r="I2" s="219"/>
      <c r="J2" s="167"/>
      <c r="K2" s="167"/>
      <c r="L2" s="167"/>
      <c r="M2" s="3"/>
      <c r="N2" s="3"/>
      <c r="O2" s="3"/>
      <c r="P2" s="3"/>
      <c r="Q2" s="3"/>
      <c r="R2" s="3"/>
      <c r="S2" s="3"/>
      <c r="T2" s="3"/>
      <c r="U2" s="3"/>
    </row>
    <row r="3" spans="2:21" ht="18.75" x14ac:dyDescent="0.3">
      <c r="B3" s="456" t="str">
        <f>'Simple Budget'!B3:L3</f>
        <v>Goat - Early Kidding, Sell at Weaning</v>
      </c>
      <c r="C3" s="456"/>
      <c r="D3" s="456"/>
      <c r="E3" s="456"/>
      <c r="F3" s="456"/>
      <c r="G3" s="456"/>
      <c r="H3" s="456"/>
      <c r="I3" s="456"/>
      <c r="J3" s="456"/>
      <c r="K3" s="456"/>
      <c r="L3" s="456"/>
      <c r="M3" s="3"/>
      <c r="N3" s="3"/>
      <c r="O3" s="3"/>
      <c r="P3" s="3"/>
      <c r="Q3" s="3"/>
      <c r="R3" s="3"/>
      <c r="S3" s="3"/>
      <c r="T3" s="3"/>
      <c r="U3" s="3"/>
    </row>
    <row r="4" spans="2:21" x14ac:dyDescent="0.25">
      <c r="B4" s="365"/>
      <c r="C4" s="167"/>
      <c r="D4" s="224"/>
      <c r="E4" s="167"/>
      <c r="G4" s="167"/>
      <c r="H4" s="167"/>
      <c r="I4" s="219"/>
      <c r="J4" s="167"/>
      <c r="K4" s="167"/>
      <c r="L4" s="167"/>
      <c r="M4" s="3"/>
      <c r="N4" s="3"/>
      <c r="O4" s="3"/>
      <c r="P4" s="3"/>
      <c r="Q4" s="3"/>
      <c r="R4" s="3"/>
      <c r="S4" s="3"/>
      <c r="T4" s="3"/>
      <c r="U4" s="3"/>
    </row>
    <row r="5" spans="2:21" ht="15.75" thickBot="1" x14ac:dyDescent="0.3">
      <c r="B5" s="364" t="str">
        <f>'Simple Budget'!B5:L5</f>
        <v>Table 1. Missouri meat goat planning budget for 2024: Early Kidding, Sell at Weaning. (50 does, 157% kidding rate)</v>
      </c>
      <c r="C5" s="221"/>
      <c r="D5" s="221"/>
      <c r="E5" s="221"/>
      <c r="F5" s="221"/>
      <c r="G5" s="221"/>
      <c r="H5" s="221"/>
      <c r="I5" s="222"/>
      <c r="J5" s="223"/>
      <c r="K5" s="223"/>
      <c r="L5" s="223"/>
      <c r="M5" s="3"/>
      <c r="N5" s="3"/>
      <c r="O5" s="3"/>
      <c r="P5" s="3"/>
      <c r="Q5" s="3"/>
      <c r="R5" s="3"/>
      <c r="S5" s="3"/>
      <c r="T5" s="3"/>
      <c r="U5" s="3"/>
    </row>
    <row r="6" spans="2:21" ht="15.75" thickTop="1" x14ac:dyDescent="0.25">
      <c r="B6" s="167"/>
      <c r="C6" s="167"/>
      <c r="D6" s="167"/>
      <c r="E6" s="167"/>
      <c r="F6" s="167"/>
      <c r="G6" s="167"/>
      <c r="H6" s="167"/>
      <c r="I6" s="219"/>
      <c r="J6" s="224"/>
      <c r="K6" s="224"/>
      <c r="L6" s="224"/>
      <c r="M6" s="3"/>
      <c r="N6" s="427" t="s">
        <v>244</v>
      </c>
      <c r="O6" s="427"/>
      <c r="P6" s="427"/>
      <c r="Q6" s="427"/>
      <c r="R6" s="427"/>
      <c r="S6" s="427"/>
      <c r="T6" s="3"/>
      <c r="U6" s="3"/>
    </row>
    <row r="7" spans="2:21" x14ac:dyDescent="0.25">
      <c r="B7" s="167"/>
      <c r="C7" s="167"/>
      <c r="D7" s="167"/>
      <c r="E7" s="167"/>
      <c r="F7" s="73" t="s">
        <v>340</v>
      </c>
      <c r="G7" s="73" t="s">
        <v>219</v>
      </c>
      <c r="H7" s="73" t="s">
        <v>96</v>
      </c>
      <c r="I7" s="73" t="s">
        <v>157</v>
      </c>
      <c r="J7" s="224"/>
      <c r="K7" s="224"/>
      <c r="L7" s="225" t="s">
        <v>146</v>
      </c>
      <c r="M7" s="3"/>
      <c r="N7" s="428" t="s">
        <v>343</v>
      </c>
      <c r="O7" s="428"/>
      <c r="P7" s="428"/>
      <c r="Q7" s="428"/>
      <c r="R7" s="428"/>
      <c r="S7" s="428">
        <f>'Flock Assumptions'!D7</f>
        <v>1</v>
      </c>
      <c r="T7" s="3"/>
      <c r="U7" s="3"/>
    </row>
    <row r="8" spans="2:21" x14ac:dyDescent="0.25">
      <c r="B8" s="167" t="s">
        <v>368</v>
      </c>
      <c r="C8" s="167"/>
      <c r="D8" s="167"/>
      <c r="E8" s="167"/>
      <c r="F8" s="3"/>
      <c r="G8" s="3"/>
      <c r="H8" s="3"/>
      <c r="I8" s="7"/>
      <c r="J8" s="383" t="s">
        <v>287</v>
      </c>
      <c r="K8" s="383" t="s">
        <v>370</v>
      </c>
      <c r="L8" s="3"/>
      <c r="M8" s="3"/>
      <c r="N8" s="260" t="s">
        <v>273</v>
      </c>
      <c r="O8" s="260"/>
      <c r="P8" s="260"/>
      <c r="Q8" s="260"/>
      <c r="R8" s="260"/>
      <c r="S8" s="429">
        <f>'Flock Assumptions'!D8</f>
        <v>50</v>
      </c>
      <c r="T8" s="3"/>
      <c r="U8" s="430"/>
    </row>
    <row r="9" spans="2:21" x14ac:dyDescent="0.25">
      <c r="B9" s="227" t="s">
        <v>337</v>
      </c>
      <c r="C9" s="228" t="str">
        <f>'Simple Budget'!C9</f>
        <v>Heavy kids</v>
      </c>
      <c r="D9" s="228"/>
      <c r="E9" s="228"/>
      <c r="F9" s="229">
        <f>'Flock Assumptions'!I8</f>
        <v>0.41999999999999993</v>
      </c>
      <c r="G9" s="230">
        <f>'Flock Assumptions'!C24</f>
        <v>60</v>
      </c>
      <c r="H9" s="409" t="s">
        <v>151</v>
      </c>
      <c r="I9" s="317">
        <f>'Flock Assumptions'!D24</f>
        <v>2.84</v>
      </c>
      <c r="J9" s="233">
        <f>'Simple Budget'!J9</f>
        <v>71.567999999999984</v>
      </c>
      <c r="K9" s="385">
        <f>'Simple Budget'!K9</f>
        <v>3578.3999999999992</v>
      </c>
      <c r="L9" s="233"/>
      <c r="M9" s="3"/>
      <c r="N9" s="260" t="s">
        <v>295</v>
      </c>
      <c r="O9" s="260"/>
      <c r="P9" s="260"/>
      <c r="Q9" s="260"/>
      <c r="R9" s="260"/>
      <c r="S9" s="429">
        <f>'Flock Assumptions'!D11</f>
        <v>2</v>
      </c>
      <c r="T9" s="3"/>
      <c r="U9" s="430"/>
    </row>
    <row r="10" spans="2:21" x14ac:dyDescent="0.25">
      <c r="B10" s="227" t="s">
        <v>341</v>
      </c>
      <c r="C10" s="228" t="str">
        <f>'Simple Budget'!C10</f>
        <v>Light kids</v>
      </c>
      <c r="D10" s="228"/>
      <c r="E10" s="228"/>
      <c r="F10" s="229">
        <f>'Flock Assumptions'!I9</f>
        <v>1.08</v>
      </c>
      <c r="G10" s="230">
        <f>'Flock Assumptions'!C25</f>
        <v>50</v>
      </c>
      <c r="H10" s="409" t="s">
        <v>151</v>
      </c>
      <c r="I10" s="317">
        <f>'Flock Assumptions'!D25</f>
        <v>2.99</v>
      </c>
      <c r="J10" s="233">
        <f>'Simple Budget'!J10</f>
        <v>161.46</v>
      </c>
      <c r="K10" s="385">
        <f>'Simple Budget'!K10</f>
        <v>8073</v>
      </c>
      <c r="L10" s="235"/>
      <c r="M10" s="3"/>
      <c r="N10" s="260" t="s">
        <v>344</v>
      </c>
      <c r="O10" s="260"/>
      <c r="P10" s="260"/>
      <c r="Q10" s="260"/>
      <c r="R10" s="260"/>
      <c r="S10" s="431">
        <f>'Flock Assumptions'!D16</f>
        <v>1.57</v>
      </c>
      <c r="T10" s="3"/>
      <c r="U10" s="3"/>
    </row>
    <row r="11" spans="2:21" x14ac:dyDescent="0.25">
      <c r="B11" s="167"/>
      <c r="C11" s="228" t="str">
        <f>'Simple Budget'!C11</f>
        <v>Culled does</v>
      </c>
      <c r="D11" s="228"/>
      <c r="E11" s="228"/>
      <c r="F11" s="229">
        <f>SUM('Flock Assumptions'!I10:I11)</f>
        <v>0.16</v>
      </c>
      <c r="G11" s="230">
        <f>'Flock Assumptions'!C27</f>
        <v>125</v>
      </c>
      <c r="H11" s="409" t="s">
        <v>151</v>
      </c>
      <c r="I11" s="317">
        <f>'Flock Assumptions'!D27</f>
        <v>1.6</v>
      </c>
      <c r="J11" s="233">
        <f>'Simple Budget'!J11</f>
        <v>28.000000000000004</v>
      </c>
      <c r="K11" s="385">
        <f>'Simple Budget'!K11</f>
        <v>1400.0000000000002</v>
      </c>
      <c r="L11" s="235"/>
      <c r="M11" s="3"/>
      <c r="N11" s="3" t="s">
        <v>345</v>
      </c>
      <c r="O11" s="260"/>
      <c r="P11" s="260"/>
      <c r="Q11" s="260"/>
      <c r="R11" s="260"/>
      <c r="S11" s="431">
        <f>'Flock Assumptions'!I8+'Flock Assumptions'!I9</f>
        <v>1.5</v>
      </c>
      <c r="T11" s="3"/>
      <c r="U11" s="3"/>
    </row>
    <row r="12" spans="2:21" x14ac:dyDescent="0.25">
      <c r="B12" s="167"/>
      <c r="C12" s="228" t="str">
        <f>'Simple Budget'!C12</f>
        <v>Culled bucks</v>
      </c>
      <c r="D12" s="228"/>
      <c r="E12" s="228"/>
      <c r="F12" s="229">
        <f>'Flock Assumptions'!I11</f>
        <v>0.02</v>
      </c>
      <c r="G12" s="230">
        <f>'Flock Assumptions'!C28</f>
        <v>175</v>
      </c>
      <c r="H12" s="409" t="s">
        <v>151</v>
      </c>
      <c r="I12" s="317">
        <f>'Flock Assumptions'!D28</f>
        <v>1.55</v>
      </c>
      <c r="J12" s="233">
        <f>'Simple Budget'!J12</f>
        <v>5.4249999999999998</v>
      </c>
      <c r="K12" s="385">
        <f>'Simple Budget'!K12</f>
        <v>271.25</v>
      </c>
      <c r="L12" s="235"/>
      <c r="M12" s="3"/>
      <c r="N12" s="260" t="s">
        <v>55</v>
      </c>
      <c r="O12" s="260"/>
      <c r="P12" s="260"/>
      <c r="Q12" s="260"/>
      <c r="R12" s="260"/>
      <c r="S12" s="431">
        <f>'Flock Assumptions'!D13</f>
        <v>0.02</v>
      </c>
      <c r="T12" s="3"/>
      <c r="U12" s="3"/>
    </row>
    <row r="13" spans="2:21" x14ac:dyDescent="0.25">
      <c r="C13" s="237" t="s">
        <v>88</v>
      </c>
      <c r="D13" s="237"/>
      <c r="E13" s="237"/>
      <c r="F13" s="238"/>
      <c r="G13" s="238"/>
      <c r="H13" s="410"/>
      <c r="I13" s="240"/>
      <c r="J13" s="241">
        <f>SUM(J9:J12)</f>
        <v>266.45300000000003</v>
      </c>
      <c r="K13" s="241">
        <f>SUM(K9:K12)</f>
        <v>13322.65</v>
      </c>
      <c r="L13" s="241"/>
      <c r="M13" s="3"/>
      <c r="N13" s="260" t="s">
        <v>297</v>
      </c>
      <c r="O13" s="260"/>
      <c r="P13" s="260"/>
      <c r="Q13" s="260"/>
      <c r="R13" s="260"/>
      <c r="S13" s="431">
        <f>'Flock Assumptions'!D17</f>
        <v>0.03</v>
      </c>
      <c r="T13" s="3"/>
      <c r="U13" s="432"/>
    </row>
    <row r="14" spans="2:21" x14ac:dyDescent="0.25">
      <c r="B14" s="167"/>
      <c r="C14" s="167"/>
      <c r="D14" s="167"/>
      <c r="E14" s="167"/>
      <c r="F14" s="242"/>
      <c r="G14" s="242"/>
      <c r="H14" s="245"/>
      <c r="I14" s="244"/>
      <c r="J14" s="226"/>
      <c r="K14" s="226"/>
      <c r="L14" s="226"/>
      <c r="M14" s="3"/>
      <c r="N14" s="3" t="s">
        <v>298</v>
      </c>
      <c r="O14" s="433"/>
      <c r="P14" s="433"/>
      <c r="Q14" s="433"/>
      <c r="R14" s="433"/>
      <c r="S14" s="434">
        <f>'Flock Assumptions'!D18</f>
        <v>0.03</v>
      </c>
      <c r="T14" s="3"/>
      <c r="U14" s="3"/>
    </row>
    <row r="15" spans="2:21" x14ac:dyDescent="0.25">
      <c r="B15" s="167" t="s">
        <v>49</v>
      </c>
      <c r="C15" s="167"/>
      <c r="D15" s="167"/>
      <c r="E15" s="167"/>
      <c r="F15" s="245"/>
      <c r="G15" s="243"/>
      <c r="H15" s="245"/>
      <c r="I15" s="244"/>
      <c r="J15" s="383" t="s">
        <v>287</v>
      </c>
      <c r="K15" s="383" t="s">
        <v>370</v>
      </c>
      <c r="L15" s="167"/>
      <c r="M15" s="3"/>
      <c r="N15" s="11"/>
      <c r="O15" s="11"/>
      <c r="P15" s="11"/>
      <c r="Q15" s="11"/>
      <c r="R15" s="11"/>
      <c r="S15" s="435"/>
      <c r="T15" s="3"/>
      <c r="U15" s="3"/>
    </row>
    <row r="16" spans="2:21" x14ac:dyDescent="0.25">
      <c r="B16" s="167"/>
      <c r="C16" s="228" t="str">
        <f>'Simple Budget'!C16</f>
        <v>Doe replacement</v>
      </c>
      <c r="D16" s="228"/>
      <c r="E16" s="228"/>
      <c r="F16" s="304">
        <f>'Flock Assumptions'!D10+'Flock Assumptions'!D13</f>
        <v>0.16</v>
      </c>
      <c r="G16" s="246" t="s">
        <v>207</v>
      </c>
      <c r="H16" s="409" t="s">
        <v>164</v>
      </c>
      <c r="I16" s="318">
        <f>'Flock Assumptions'!D39</f>
        <v>210</v>
      </c>
      <c r="J16" s="233">
        <f>'Simple Budget'!J16</f>
        <v>33.6</v>
      </c>
      <c r="K16" s="385">
        <f>'Simple Budget'!K16</f>
        <v>1680</v>
      </c>
      <c r="L16" s="233"/>
      <c r="M16" s="3"/>
      <c r="N16" s="3"/>
      <c r="O16" s="3"/>
      <c r="P16" s="3"/>
      <c r="Q16" s="3"/>
      <c r="R16" s="3"/>
      <c r="S16" s="3"/>
      <c r="T16" s="3"/>
      <c r="U16" s="3"/>
    </row>
    <row r="17" spans="2:21" x14ac:dyDescent="0.25">
      <c r="B17" s="167"/>
      <c r="C17" s="228" t="str">
        <f>'Simple Budget'!C17</f>
        <v>Buck cost, breeding supplies</v>
      </c>
      <c r="D17" s="234"/>
      <c r="E17" s="234"/>
      <c r="F17" s="247">
        <f>'Flock Assumptions'!D11/'Flock Assumptions'!D8</f>
        <v>0.04</v>
      </c>
      <c r="G17" s="248" t="s">
        <v>207</v>
      </c>
      <c r="H17" s="411" t="s">
        <v>164</v>
      </c>
      <c r="I17" s="319">
        <f>'Flock Assumptions'!D40</f>
        <v>270</v>
      </c>
      <c r="J17" s="233">
        <f>'Simple Budget'!J17</f>
        <v>6.4</v>
      </c>
      <c r="K17" s="385">
        <f>'Simple Budget'!K17</f>
        <v>320</v>
      </c>
      <c r="L17" s="250"/>
      <c r="M17" s="3"/>
      <c r="N17" s="11" t="s">
        <v>221</v>
      </c>
      <c r="O17" s="11"/>
      <c r="P17" s="11"/>
      <c r="Q17" s="11"/>
      <c r="R17" s="11"/>
      <c r="S17" s="11"/>
      <c r="T17" s="11"/>
      <c r="U17" s="11"/>
    </row>
    <row r="18" spans="2:21" x14ac:dyDescent="0.25">
      <c r="B18" s="167"/>
      <c r="C18" s="228" t="str">
        <f>'Simple Budget'!C18</f>
        <v>Pasture</v>
      </c>
      <c r="D18" s="234"/>
      <c r="E18" s="234"/>
      <c r="F18" s="251"/>
      <c r="G18" s="252">
        <f>'Flock Assumptions'!J35/'Flock Assumptions'!D8</f>
        <v>0.74250000000000005</v>
      </c>
      <c r="H18" s="412" t="s">
        <v>152</v>
      </c>
      <c r="I18" s="317">
        <f>('Feed Assumptions'!C37*'Cost Assumptions'!D7)+('Feed Assumptions'!C38*'Cost Assumptions'!D8)</f>
        <v>32.553571428571431</v>
      </c>
      <c r="J18" s="233">
        <f>'Simple Budget'!J18</f>
        <v>18.5625</v>
      </c>
      <c r="K18" s="385">
        <f>'Simple Budget'!K18</f>
        <v>928.125</v>
      </c>
      <c r="L18" s="235"/>
      <c r="M18" s="3"/>
      <c r="N18" s="7"/>
      <c r="O18" s="7"/>
      <c r="P18" s="7"/>
      <c r="Q18" s="7" t="s">
        <v>4</v>
      </c>
      <c r="R18" s="7" t="s">
        <v>4</v>
      </c>
      <c r="S18" s="7" t="s">
        <v>16</v>
      </c>
      <c r="T18" s="7" t="s">
        <v>173</v>
      </c>
      <c r="U18" s="7"/>
    </row>
    <row r="19" spans="2:21" x14ac:dyDescent="0.25">
      <c r="B19" s="167"/>
      <c r="C19" s="228" t="str">
        <f>'Simple Budget'!C19</f>
        <v>Hay</v>
      </c>
      <c r="D19" s="234"/>
      <c r="E19" s="234"/>
      <c r="F19" s="251"/>
      <c r="G19" s="254">
        <f>'Feed Assumptions'!F48/'Flock Assumptions'!D8</f>
        <v>435.31050000000005</v>
      </c>
      <c r="H19" s="411" t="s">
        <v>151</v>
      </c>
      <c r="I19" s="320">
        <f>'Feed Assumptions'!G60</f>
        <v>8.0049077038114175E-2</v>
      </c>
      <c r="J19" s="233">
        <f>'Simple Budget'!J19</f>
        <v>34.846203750000001</v>
      </c>
      <c r="K19" s="385">
        <f>'Simple Budget'!K19</f>
        <v>1742.3101875</v>
      </c>
      <c r="L19" s="250"/>
      <c r="M19" s="3"/>
      <c r="N19" s="7"/>
      <c r="O19" s="7"/>
      <c r="P19" s="7"/>
      <c r="Q19" s="7" t="s">
        <v>186</v>
      </c>
      <c r="R19" s="7" t="s">
        <v>186</v>
      </c>
      <c r="S19" s="7" t="s">
        <v>4</v>
      </c>
      <c r="T19" s="7" t="s">
        <v>174</v>
      </c>
      <c r="U19" s="7" t="s">
        <v>16</v>
      </c>
    </row>
    <row r="20" spans="2:21" x14ac:dyDescent="0.25">
      <c r="B20" s="167"/>
      <c r="C20" s="228" t="str">
        <f>'Simple Budget'!C20</f>
        <v>Supplement</v>
      </c>
      <c r="D20" s="228"/>
      <c r="E20" s="228"/>
      <c r="F20" s="255"/>
      <c r="G20" s="256">
        <f>'Feed Assumptions'!F54/'Flock Assumptions'!D8</f>
        <v>58.720577999999996</v>
      </c>
      <c r="H20" s="411" t="s">
        <v>151</v>
      </c>
      <c r="I20" s="321">
        <f>'Feed Assumptions'!G61</f>
        <v>0.10696501488796654</v>
      </c>
      <c r="J20" s="233">
        <f>'Simple Budget'!J20</f>
        <v>6.2810474999999997</v>
      </c>
      <c r="K20" s="385">
        <f>'Simple Budget'!K20</f>
        <v>314.05237499999998</v>
      </c>
      <c r="L20" s="250"/>
      <c r="M20" s="3"/>
      <c r="N20" s="5"/>
      <c r="O20" s="5"/>
      <c r="P20" s="5" t="s">
        <v>4</v>
      </c>
      <c r="Q20" s="5" t="s">
        <v>182</v>
      </c>
      <c r="R20" s="5" t="s">
        <v>313</v>
      </c>
      <c r="S20" s="5" t="s">
        <v>287</v>
      </c>
      <c r="T20" s="5" t="s">
        <v>170</v>
      </c>
      <c r="U20" s="5" t="s">
        <v>324</v>
      </c>
    </row>
    <row r="21" spans="2:21" x14ac:dyDescent="0.25">
      <c r="B21" s="167"/>
      <c r="C21" s="228" t="str">
        <f>'Simple Budget'!C21</f>
        <v>Mineral</v>
      </c>
      <c r="D21" s="167"/>
      <c r="E21" s="167"/>
      <c r="F21" s="257"/>
      <c r="G21" s="258">
        <f>'Feed Assumptions'!F56/100</f>
        <v>4.4278000000000013</v>
      </c>
      <c r="H21" s="411" t="s">
        <v>151</v>
      </c>
      <c r="I21" s="321">
        <f>'Cost Assumptions'!D16/100</f>
        <v>0.5</v>
      </c>
      <c r="J21" s="233">
        <f>'Simple Budget'!J21</f>
        <v>4.4278000000000013</v>
      </c>
      <c r="K21" s="385">
        <f>'Simple Budget'!K21</f>
        <v>221.39000000000007</v>
      </c>
      <c r="L21" s="250"/>
      <c r="M21" s="3"/>
      <c r="N21" s="284" t="s">
        <v>117</v>
      </c>
      <c r="O21" s="284"/>
      <c r="P21" s="285" t="s">
        <v>119</v>
      </c>
      <c r="Q21" s="286">
        <f>'Flock Assumptions'!D32</f>
        <v>0.38</v>
      </c>
      <c r="R21" s="287">
        <f>'Flock Assumptions'!D33</f>
        <v>0.23</v>
      </c>
      <c r="S21" s="288">
        <f>'Flock Assumptions'!J35/'Flock Assumptions'!$D$8</f>
        <v>0.74250000000000005</v>
      </c>
      <c r="T21" s="288">
        <f>('Feed Assumptions'!C37*'Cost Assumptions'!D7)+('Feed Assumptions'!C38*'Cost Assumptions'!D8)</f>
        <v>32.553571428571431</v>
      </c>
      <c r="U21" s="289">
        <f>S21*T21</f>
        <v>24.17102678571429</v>
      </c>
    </row>
    <row r="22" spans="2:21" x14ac:dyDescent="0.25">
      <c r="B22" s="167"/>
      <c r="C22" s="228" t="str">
        <f>'Simple Budget'!C22</f>
        <v>Animal health</v>
      </c>
      <c r="D22" s="234"/>
      <c r="E22" s="234"/>
      <c r="F22" s="247"/>
      <c r="G22" s="247"/>
      <c r="H22" s="411"/>
      <c r="I22" s="259"/>
      <c r="J22" s="233">
        <f>'Simple Budget'!J22</f>
        <v>6.4518000000000004</v>
      </c>
      <c r="K22" s="385">
        <f>'Simple Budget'!K22</f>
        <v>322.59000000000003</v>
      </c>
      <c r="L22" s="250"/>
      <c r="M22" s="3"/>
      <c r="N22" s="260" t="s">
        <v>21</v>
      </c>
      <c r="O22" s="260"/>
      <c r="P22" s="290" t="s">
        <v>184</v>
      </c>
      <c r="Q22" s="291">
        <f>'Feed Assumptions'!D48</f>
        <v>418.5677884615385</v>
      </c>
      <c r="R22" s="292">
        <f>'Feed Assumptions'!E48</f>
        <v>0</v>
      </c>
      <c r="S22" s="293">
        <f>'Feed Assumptions'!F48/'Flock Assumptions'!D8</f>
        <v>435.31050000000005</v>
      </c>
      <c r="T22" s="294">
        <f>'Feed Assumptions'!G48/('Feed Assumptions'!F48)</f>
        <v>8.0049077038114161E-2</v>
      </c>
      <c r="U22" s="295">
        <f>'Feed Assumptions'!H48</f>
        <v>34.846203750000001</v>
      </c>
    </row>
    <row r="23" spans="2:21" x14ac:dyDescent="0.25">
      <c r="B23" s="167"/>
      <c r="C23" s="228" t="str">
        <f>'Simple Budget'!C23</f>
        <v>Guard dog replacement and food</v>
      </c>
      <c r="D23" s="260"/>
      <c r="E23" s="260"/>
      <c r="F23" s="236"/>
      <c r="G23" s="236"/>
      <c r="H23" s="413"/>
      <c r="I23" s="261"/>
      <c r="J23" s="233">
        <f>'Simple Budget'!J23</f>
        <v>12.0722</v>
      </c>
      <c r="K23" s="385">
        <f>'Simple Budget'!K23</f>
        <v>603.61</v>
      </c>
      <c r="L23" s="250"/>
      <c r="M23" s="3"/>
      <c r="N23" s="260" t="s">
        <v>123</v>
      </c>
      <c r="O23" s="260"/>
      <c r="P23" s="290" t="s">
        <v>184</v>
      </c>
      <c r="Q23" s="291">
        <f>'Feed Assumptions'!D54</f>
        <v>55.02403846153846</v>
      </c>
      <c r="R23" s="291">
        <f>'Feed Assumptions'!E54</f>
        <v>0.97755000000000003</v>
      </c>
      <c r="S23" s="291">
        <f>'Feed Assumptions'!F54/'Flock Assumptions'!D8</f>
        <v>58.720577999999996</v>
      </c>
      <c r="T23" s="296">
        <f>'Feed Assumptions'!G54/'Feed Assumptions'!F54</f>
        <v>0.10696501488796653</v>
      </c>
      <c r="U23" s="295">
        <f>'Feed Assumptions'!H54</f>
        <v>6.2810474999999997</v>
      </c>
    </row>
    <row r="24" spans="2:21" x14ac:dyDescent="0.25">
      <c r="B24" s="167"/>
      <c r="C24" s="228" t="str">
        <f>'Simple Budget'!C24</f>
        <v>Bedding and stock supplies</v>
      </c>
      <c r="D24" s="234"/>
      <c r="E24" s="234"/>
      <c r="F24" s="247"/>
      <c r="G24" s="247"/>
      <c r="H24" s="411"/>
      <c r="I24" s="259"/>
      <c r="J24" s="233">
        <f>'Simple Budget'!J24</f>
        <v>3.25</v>
      </c>
      <c r="K24" s="385">
        <f>'Simple Budget'!K24</f>
        <v>162.5</v>
      </c>
      <c r="L24" s="250"/>
      <c r="M24" s="3"/>
      <c r="N24" s="3" t="s">
        <v>124</v>
      </c>
      <c r="O24" s="3"/>
      <c r="P24" s="7" t="s">
        <v>184</v>
      </c>
      <c r="Q24" s="325">
        <f>'Feed Assumptions'!D56</f>
        <v>7.9778846153846166</v>
      </c>
      <c r="R24" s="325">
        <f>'Feed Assumptions'!E56</f>
        <v>0.32674342105263166</v>
      </c>
      <c r="S24" s="325">
        <f>'Feed Assumptions'!F56/'Flock Assumptions'!D8</f>
        <v>8.8556000000000026</v>
      </c>
      <c r="T24" s="219">
        <f>'Cost Assumptions'!D16/100</f>
        <v>0.5</v>
      </c>
      <c r="U24" s="326">
        <f>'Feed Assumptions'!H56</f>
        <v>4.4278000000000013</v>
      </c>
    </row>
    <row r="25" spans="2:21" x14ac:dyDescent="0.25">
      <c r="B25" s="167"/>
      <c r="C25" s="228" t="str">
        <f>'Simple Budget'!C25</f>
        <v>Marketing</v>
      </c>
      <c r="D25" s="234"/>
      <c r="E25" s="234"/>
      <c r="F25" s="247"/>
      <c r="G25" s="247"/>
      <c r="H25" s="411"/>
      <c r="I25" s="259"/>
      <c r="J25" s="233">
        <f>'Simple Budget'!J25</f>
        <v>19.983975000000001</v>
      </c>
      <c r="K25" s="385">
        <f>'Simple Budget'!K25</f>
        <v>999.19875000000002</v>
      </c>
      <c r="L25" s="250"/>
      <c r="M25" s="3"/>
      <c r="N25" s="3"/>
      <c r="O25" s="3"/>
      <c r="P25" s="7"/>
      <c r="Q25" s="325"/>
      <c r="R25" s="325"/>
      <c r="S25" s="325"/>
      <c r="T25" s="219"/>
      <c r="U25" s="326"/>
    </row>
    <row r="26" spans="2:21" x14ac:dyDescent="0.25">
      <c r="B26" s="167"/>
      <c r="C26" s="228" t="str">
        <f>'Simple Budget'!C26</f>
        <v>Custom hire</v>
      </c>
      <c r="D26" s="260"/>
      <c r="E26" s="260"/>
      <c r="F26" s="236"/>
      <c r="G26" s="236"/>
      <c r="H26" s="413"/>
      <c r="I26" s="261"/>
      <c r="J26" s="233">
        <f>'Simple Budget'!J26</f>
        <v>0</v>
      </c>
      <c r="K26" s="385">
        <f>'Simple Budget'!K26</f>
        <v>0</v>
      </c>
      <c r="L26" s="250"/>
      <c r="M26" s="3"/>
      <c r="N26" s="282" t="s">
        <v>222</v>
      </c>
      <c r="O26" s="282"/>
      <c r="P26" s="12" t="s">
        <v>223</v>
      </c>
      <c r="Q26" s="282">
        <f>'Health Assumptions'!K28</f>
        <v>2</v>
      </c>
      <c r="R26" s="327">
        <f>'Health Assumptions'!K29</f>
        <v>0.5</v>
      </c>
      <c r="S26" s="327">
        <f>'Health Assumptions'!L30/'Flock Assumptions'!D8</f>
        <v>2.87</v>
      </c>
      <c r="T26" s="327">
        <f>'Cost Assumptions'!D20</f>
        <v>17.7</v>
      </c>
      <c r="U26" s="283">
        <f>'Health Assumptions'!M30</f>
        <v>50.798999999999999</v>
      </c>
    </row>
    <row r="27" spans="2:21" x14ac:dyDescent="0.25">
      <c r="B27" s="167"/>
      <c r="C27" s="228" t="str">
        <f>'Simple Budget'!C27</f>
        <v>Machinery fuel, lube, repair</v>
      </c>
      <c r="D27" s="234"/>
      <c r="E27" s="234"/>
      <c r="F27" s="247"/>
      <c r="G27" s="247"/>
      <c r="H27" s="411"/>
      <c r="I27" s="259"/>
      <c r="J27" s="233">
        <f>'Simple Budget'!J27</f>
        <v>14.029689600000001</v>
      </c>
      <c r="K27" s="385">
        <f>'Simple Budget'!K27</f>
        <v>701.48448000000008</v>
      </c>
      <c r="L27" s="250"/>
      <c r="M27" s="3"/>
      <c r="N27" s="3"/>
      <c r="O27" s="3"/>
      <c r="P27" s="3"/>
      <c r="Q27" s="3"/>
      <c r="R27" s="3"/>
      <c r="S27" s="3"/>
      <c r="T27" s="3"/>
      <c r="U27" s="3"/>
    </row>
    <row r="28" spans="2:21" x14ac:dyDescent="0.25">
      <c r="B28" s="167"/>
      <c r="C28" s="228" t="str">
        <f>'Simple Budget'!C28</f>
        <v>Facility maintenance</v>
      </c>
      <c r="D28" s="234"/>
      <c r="E28" s="234"/>
      <c r="F28" s="247"/>
      <c r="G28" s="247"/>
      <c r="H28" s="411"/>
      <c r="I28" s="259"/>
      <c r="J28" s="233">
        <f>'Simple Budget'!J28</f>
        <v>3.9</v>
      </c>
      <c r="K28" s="385">
        <f>'Simple Budget'!K28</f>
        <v>195</v>
      </c>
      <c r="L28" s="250"/>
      <c r="M28" s="3"/>
      <c r="N28" s="3"/>
      <c r="O28" s="3"/>
      <c r="P28" s="3"/>
      <c r="Q28" s="3"/>
      <c r="R28" s="3"/>
      <c r="S28" s="3"/>
      <c r="T28" s="3"/>
      <c r="U28" s="3"/>
    </row>
    <row r="29" spans="2:21" x14ac:dyDescent="0.25">
      <c r="B29" s="167"/>
      <c r="C29" s="228" t="str">
        <f>'Simple Budget'!C29</f>
        <v>Operating interest</v>
      </c>
      <c r="D29" s="234"/>
      <c r="E29" s="234"/>
      <c r="F29" s="247"/>
      <c r="G29" s="258">
        <f>'Cost Assumptions'!D28*100</f>
        <v>9</v>
      </c>
      <c r="H29" s="411" t="s">
        <v>220</v>
      </c>
      <c r="I29" s="262"/>
      <c r="J29" s="233">
        <f>'Simple Budget'!J29</f>
        <v>7.2956187573749993</v>
      </c>
      <c r="K29" s="385">
        <f>'Simple Budget'!K29</f>
        <v>364.78093786874996</v>
      </c>
      <c r="L29" s="250"/>
      <c r="M29" s="3"/>
      <c r="N29" s="11" t="s">
        <v>245</v>
      </c>
      <c r="O29" s="11"/>
      <c r="P29" s="11"/>
      <c r="Q29" s="11"/>
      <c r="R29" s="11"/>
      <c r="S29" s="11"/>
      <c r="T29" s="11"/>
      <c r="U29" s="11"/>
    </row>
    <row r="30" spans="2:21" x14ac:dyDescent="0.25">
      <c r="B30" s="167"/>
      <c r="C30" s="228" t="str">
        <f>'Simple Budget'!C30</f>
        <v>Operator and hired labor</v>
      </c>
      <c r="D30" s="234"/>
      <c r="E30" s="234"/>
      <c r="F30" s="247"/>
      <c r="G30" s="352">
        <f>'Health Assumptions'!L30/'Flock Assumptions'!D8</f>
        <v>2.87</v>
      </c>
      <c r="H30" s="411" t="s">
        <v>218</v>
      </c>
      <c r="I30" s="317">
        <f>'Cost Assumptions'!D20</f>
        <v>17.7</v>
      </c>
      <c r="J30" s="233">
        <f>'Simple Budget'!J30</f>
        <v>50.798999999999999</v>
      </c>
      <c r="K30" s="385">
        <f>'Simple Budget'!K30</f>
        <v>2539.9499999999998</v>
      </c>
      <c r="L30" s="250"/>
      <c r="M30" s="3"/>
      <c r="N30" s="167"/>
      <c r="O30" s="167"/>
      <c r="P30" s="167"/>
      <c r="Q30" s="167"/>
      <c r="R30" s="219"/>
      <c r="S30" s="219"/>
      <c r="T30" s="219" t="s">
        <v>26</v>
      </c>
      <c r="U30" s="219" t="s">
        <v>83</v>
      </c>
    </row>
    <row r="31" spans="2:21" x14ac:dyDescent="0.25">
      <c r="C31" s="237" t="s">
        <v>49</v>
      </c>
      <c r="D31" s="237"/>
      <c r="E31" s="237"/>
      <c r="F31" s="238"/>
      <c r="G31" s="238"/>
      <c r="H31" s="410"/>
      <c r="I31" s="240"/>
      <c r="J31" s="241">
        <f>SUM(J16:J30)</f>
        <v>221.89983460737503</v>
      </c>
      <c r="K31" s="241">
        <f>SUM(K16:K30)</f>
        <v>11094.991730368751</v>
      </c>
      <c r="L31" s="241"/>
      <c r="M31" s="3"/>
      <c r="N31" s="165"/>
      <c r="O31" s="165"/>
      <c r="P31" s="165"/>
      <c r="Q31" s="5" t="s">
        <v>4</v>
      </c>
      <c r="R31" s="73" t="s">
        <v>208</v>
      </c>
      <c r="S31" s="73" t="s">
        <v>170</v>
      </c>
      <c r="T31" s="73" t="s">
        <v>181</v>
      </c>
      <c r="U31" s="73" t="s">
        <v>282</v>
      </c>
    </row>
    <row r="32" spans="2:21" x14ac:dyDescent="0.25">
      <c r="B32" s="167"/>
      <c r="C32" s="220"/>
      <c r="D32" s="220"/>
      <c r="E32" s="220"/>
      <c r="F32" s="263"/>
      <c r="G32" s="263"/>
      <c r="H32" s="414"/>
      <c r="I32" s="264"/>
      <c r="J32" s="265"/>
      <c r="K32" s="265"/>
      <c r="L32" s="265"/>
      <c r="M32" s="3"/>
      <c r="N32" s="234" t="s">
        <v>209</v>
      </c>
      <c r="O32" s="234"/>
      <c r="P32" s="234"/>
      <c r="Q32" s="7" t="s">
        <v>316</v>
      </c>
      <c r="R32" s="297">
        <f>'Buildings &amp; Machinery'!E57</f>
        <v>50</v>
      </c>
      <c r="S32" s="353">
        <f>'Buildings &amp; Machinery'!D57</f>
        <v>266.09999999999997</v>
      </c>
      <c r="T32" s="298">
        <f>'Buildings &amp; Machinery'!F57</f>
        <v>13304.999999999998</v>
      </c>
      <c r="U32" s="298">
        <f>'Buildings &amp; Machinery'!G57</f>
        <v>266.09999999999997</v>
      </c>
    </row>
    <row r="33" spans="2:21" x14ac:dyDescent="0.25">
      <c r="B33" s="167" t="s">
        <v>51</v>
      </c>
      <c r="C33" s="167"/>
      <c r="D33" s="167"/>
      <c r="E33" s="167"/>
      <c r="F33" s="242"/>
      <c r="G33" s="242"/>
      <c r="H33" s="245"/>
      <c r="I33" s="244"/>
      <c r="J33" s="383" t="s">
        <v>287</v>
      </c>
      <c r="K33" s="383" t="s">
        <v>370</v>
      </c>
      <c r="L33" s="167"/>
      <c r="M33" s="3"/>
      <c r="N33" s="234" t="s">
        <v>169</v>
      </c>
      <c r="O33" s="234"/>
      <c r="P33" s="234"/>
      <c r="Q33" s="234"/>
      <c r="R33" s="234"/>
      <c r="S33" s="234"/>
      <c r="T33" s="298">
        <f>'Buildings &amp; Machinery'!F58</f>
        <v>11500</v>
      </c>
      <c r="U33" s="298">
        <f>'Buildings &amp; Machinery'!G58</f>
        <v>230</v>
      </c>
    </row>
    <row r="34" spans="2:21" x14ac:dyDescent="0.25">
      <c r="B34" s="167"/>
      <c r="C34" s="228" t="str">
        <f>'Simple Budget'!C34</f>
        <v>Business overhead (pro fees, utilities, misc.)</v>
      </c>
      <c r="D34" s="266"/>
      <c r="E34" s="266"/>
      <c r="F34" s="267"/>
      <c r="G34" s="267"/>
      <c r="H34" s="409"/>
      <c r="I34" s="232"/>
      <c r="J34" s="268">
        <f>'Simple Budget'!J34</f>
        <v>4.5</v>
      </c>
      <c r="K34" s="385">
        <f>'Simple Budget'!K34</f>
        <v>225</v>
      </c>
      <c r="L34" s="268"/>
      <c r="M34" s="3"/>
      <c r="N34" s="299" t="s">
        <v>172</v>
      </c>
      <c r="O34" s="299"/>
      <c r="P34" s="299"/>
      <c r="Q34" s="299"/>
      <c r="R34" s="299"/>
      <c r="S34" s="299"/>
      <c r="T34" s="300">
        <f>'Buildings &amp; Machinery'!F59</f>
        <v>9800</v>
      </c>
      <c r="U34" s="300">
        <f>'Buildings &amp; Machinery'!G59</f>
        <v>196</v>
      </c>
    </row>
    <row r="35" spans="2:21" x14ac:dyDescent="0.25">
      <c r="B35" s="167"/>
      <c r="C35" s="228" t="str">
        <f>'Simple Budget'!C35</f>
        <v>Property taxes and insurance</v>
      </c>
      <c r="D35" s="234"/>
      <c r="E35" s="234"/>
      <c r="F35" s="247"/>
      <c r="G35" s="247"/>
      <c r="H35" s="411"/>
      <c r="I35" s="259"/>
      <c r="J35" s="268">
        <f>'Simple Budget'!J35</f>
        <v>3.512</v>
      </c>
      <c r="K35" s="385">
        <f>'Simple Budget'!K35</f>
        <v>175.6</v>
      </c>
      <c r="L35" s="235"/>
      <c r="M35" s="3"/>
      <c r="N35" s="301" t="s">
        <v>33</v>
      </c>
      <c r="O35" s="301"/>
      <c r="P35" s="301"/>
      <c r="Q35" s="165"/>
      <c r="R35" s="165"/>
      <c r="S35" s="165"/>
      <c r="T35" s="302">
        <f>'Buildings &amp; Machinery'!F60</f>
        <v>34605</v>
      </c>
      <c r="U35" s="302">
        <f>'Buildings &amp; Machinery'!G60</f>
        <v>692.09999999999991</v>
      </c>
    </row>
    <row r="36" spans="2:21" x14ac:dyDescent="0.25">
      <c r="B36" s="167"/>
      <c r="C36" s="228" t="str">
        <f>'Simple Budget'!C36</f>
        <v>Economic depreciation, facility and equipment</v>
      </c>
      <c r="D36" s="234"/>
      <c r="E36" s="234"/>
      <c r="F36" s="247"/>
      <c r="G36" s="247"/>
      <c r="H36" s="411"/>
      <c r="I36" s="259"/>
      <c r="J36" s="268">
        <f>'Simple Budget'!J36</f>
        <v>21.123333333333335</v>
      </c>
      <c r="K36" s="385">
        <f>'Simple Budget'!K36</f>
        <v>1056.1666666666667</v>
      </c>
      <c r="L36" s="250"/>
      <c r="M36" s="3"/>
      <c r="N36" s="303" t="s">
        <v>248</v>
      </c>
      <c r="O36" s="3"/>
      <c r="P36" s="3"/>
      <c r="Q36" s="3"/>
      <c r="R36" s="3"/>
      <c r="S36" s="3"/>
      <c r="T36" s="3"/>
      <c r="U36" s="3"/>
    </row>
    <row r="37" spans="2:21" x14ac:dyDescent="0.25">
      <c r="B37" s="167"/>
      <c r="C37" s="228" t="str">
        <f>'Simple Budget'!C37</f>
        <v>Opportunity interest on capital investment</v>
      </c>
      <c r="D37" s="234"/>
      <c r="E37" s="234"/>
      <c r="F37" s="236"/>
      <c r="G37" s="322">
        <f>'Cost Assumptions'!D30*100</f>
        <v>5</v>
      </c>
      <c r="H37" s="413" t="s">
        <v>220</v>
      </c>
      <c r="I37" s="269"/>
      <c r="J37" s="268">
        <f>'Simple Budget'!J37</f>
        <v>26.3325</v>
      </c>
      <c r="K37" s="385">
        <f>'Simple Budget'!K37</f>
        <v>1316.625</v>
      </c>
      <c r="L37" s="250"/>
      <c r="M37" s="3"/>
      <c r="N37" s="441"/>
      <c r="O37" s="441"/>
      <c r="P37" s="441"/>
      <c r="Q37" s="441"/>
      <c r="R37" s="441"/>
      <c r="S37" s="441"/>
      <c r="T37" s="441"/>
      <c r="U37" s="441"/>
    </row>
    <row r="38" spans="2:21" ht="15" customHeight="1" x14ac:dyDescent="0.25">
      <c r="B38" s="167"/>
      <c r="C38" s="237" t="s">
        <v>51</v>
      </c>
      <c r="D38" s="237"/>
      <c r="E38" s="237"/>
      <c r="F38" s="238"/>
      <c r="G38" s="238"/>
      <c r="H38" s="238"/>
      <c r="I38" s="239"/>
      <c r="J38" s="241">
        <f>SUM(J34:J37)</f>
        <v>55.467833333333331</v>
      </c>
      <c r="K38" s="241">
        <f>SUM(K34:K37)</f>
        <v>2773.3916666666669</v>
      </c>
      <c r="L38" s="241"/>
      <c r="M38" s="3"/>
      <c r="N38" s="457" t="s">
        <v>392</v>
      </c>
      <c r="O38" s="457"/>
      <c r="P38" s="457"/>
      <c r="Q38" s="457"/>
      <c r="R38" s="457"/>
      <c r="S38" s="457"/>
      <c r="T38" s="457"/>
      <c r="U38" s="457"/>
    </row>
    <row r="39" spans="2:21" ht="15" customHeight="1" x14ac:dyDescent="0.25">
      <c r="B39" s="167"/>
      <c r="C39" s="270"/>
      <c r="D39" s="270"/>
      <c r="E39" s="270"/>
      <c r="F39" s="270"/>
      <c r="G39" s="270"/>
      <c r="H39" s="270"/>
      <c r="I39" s="271"/>
      <c r="J39" s="383"/>
      <c r="K39" s="401"/>
      <c r="L39" s="270"/>
      <c r="M39" s="3"/>
      <c r="N39" s="457"/>
      <c r="O39" s="457"/>
      <c r="P39" s="457"/>
      <c r="Q39" s="457"/>
      <c r="R39" s="457"/>
      <c r="S39" s="457"/>
      <c r="T39" s="457"/>
      <c r="U39" s="457"/>
    </row>
    <row r="40" spans="2:21" ht="15" customHeight="1" x14ac:dyDescent="0.25">
      <c r="B40" s="167"/>
      <c r="C40" s="272" t="s">
        <v>371</v>
      </c>
      <c r="D40" s="272"/>
      <c r="E40" s="272"/>
      <c r="F40" s="272"/>
      <c r="G40" s="272"/>
      <c r="H40" s="272"/>
      <c r="I40" s="273"/>
      <c r="J40" s="274">
        <f>J31+J38</f>
        <v>277.36766794070837</v>
      </c>
      <c r="K40" s="274">
        <f>K31+K38</f>
        <v>13868.383397035417</v>
      </c>
      <c r="L40" s="274"/>
      <c r="M40" s="3"/>
      <c r="N40" s="457"/>
      <c r="O40" s="457"/>
      <c r="P40" s="457"/>
      <c r="Q40" s="457"/>
      <c r="R40" s="457"/>
      <c r="S40" s="457"/>
      <c r="T40" s="457"/>
      <c r="U40" s="457"/>
    </row>
    <row r="41" spans="2:21" x14ac:dyDescent="0.25">
      <c r="B41" s="167"/>
      <c r="C41" s="275"/>
      <c r="D41" s="275"/>
      <c r="E41" s="275"/>
      <c r="F41" s="275"/>
      <c r="G41" s="275"/>
      <c r="H41" s="275"/>
      <c r="I41" s="276"/>
      <c r="J41" s="383"/>
      <c r="K41" s="383"/>
      <c r="L41" s="277"/>
      <c r="M41" s="3"/>
      <c r="N41" s="457"/>
      <c r="O41" s="457"/>
      <c r="P41" s="457"/>
      <c r="Q41" s="457"/>
      <c r="R41" s="457"/>
      <c r="S41" s="457"/>
      <c r="T41" s="457"/>
      <c r="U41" s="457"/>
    </row>
    <row r="42" spans="2:21" x14ac:dyDescent="0.25">
      <c r="B42" s="167"/>
      <c r="C42" s="228" t="str">
        <f>'Simple Budget'!C42</f>
        <v>Return over operating costs</v>
      </c>
      <c r="D42" s="228"/>
      <c r="E42" s="228"/>
      <c r="F42" s="228"/>
      <c r="G42" s="228"/>
      <c r="H42" s="228"/>
      <c r="I42" s="278"/>
      <c r="J42" s="354">
        <f>'Simple Budget'!J42</f>
        <v>44.553165392625004</v>
      </c>
      <c r="K42" s="385">
        <f>'Simple Budget'!K42</f>
        <v>2227.6582696312503</v>
      </c>
      <c r="L42" s="279"/>
      <c r="M42" s="3"/>
      <c r="N42" s="457"/>
      <c r="O42" s="457"/>
      <c r="P42" s="457"/>
      <c r="Q42" s="457"/>
      <c r="R42" s="457"/>
      <c r="S42" s="457"/>
      <c r="T42" s="457"/>
      <c r="U42" s="457"/>
    </row>
    <row r="43" spans="2:21" x14ac:dyDescent="0.25">
      <c r="B43" s="3"/>
      <c r="C43" s="228" t="str">
        <f>'Simple Budget'!C43</f>
        <v>Return over total costs</v>
      </c>
      <c r="D43" s="234"/>
      <c r="E43" s="234"/>
      <c r="F43" s="234"/>
      <c r="G43" s="234"/>
      <c r="H43" s="234"/>
      <c r="I43" s="280"/>
      <c r="J43" s="354">
        <f>'Simple Budget'!J43</f>
        <v>-10.914667940708341</v>
      </c>
      <c r="K43" s="385">
        <f>'Simple Budget'!K43</f>
        <v>-545.73339703541706</v>
      </c>
      <c r="L43" s="281"/>
      <c r="M43" s="3"/>
      <c r="N43" s="457"/>
      <c r="O43" s="457"/>
      <c r="P43" s="457"/>
      <c r="Q43" s="457"/>
      <c r="R43" s="457"/>
      <c r="S43" s="457"/>
      <c r="T43" s="457"/>
      <c r="U43" s="457"/>
    </row>
    <row r="44" spans="2:21" x14ac:dyDescent="0.25">
      <c r="B44" s="3"/>
      <c r="C44" s="433"/>
      <c r="D44" s="433"/>
      <c r="E44" s="433"/>
      <c r="F44" s="433"/>
      <c r="G44" s="433"/>
      <c r="H44" s="433"/>
      <c r="I44" s="436"/>
      <c r="J44" s="383"/>
      <c r="K44" s="384"/>
      <c r="L44" s="433"/>
      <c r="M44" s="3"/>
      <c r="N44" s="457"/>
      <c r="O44" s="457"/>
      <c r="P44" s="457"/>
      <c r="Q44" s="457"/>
      <c r="R44" s="457"/>
      <c r="S44" s="457"/>
      <c r="T44" s="457"/>
      <c r="U44" s="457"/>
    </row>
    <row r="45" spans="2:21" x14ac:dyDescent="0.25">
      <c r="B45" s="3"/>
      <c r="C45" s="228" t="str">
        <f>'Simple Budget'!C45</f>
        <v>Return to labor and management</v>
      </c>
      <c r="D45" s="228"/>
      <c r="E45" s="228"/>
      <c r="F45" s="228"/>
      <c r="G45" s="228"/>
      <c r="H45" s="228"/>
      <c r="I45" s="278"/>
      <c r="J45" s="354">
        <f>'Simple Budget'!J45</f>
        <v>39.884332059291658</v>
      </c>
      <c r="K45" s="385">
        <f>'Simple Budget'!K45</f>
        <v>1994.216602964583</v>
      </c>
      <c r="L45" s="279"/>
      <c r="M45" s="3"/>
      <c r="N45" s="457"/>
      <c r="O45" s="457"/>
      <c r="P45" s="457"/>
      <c r="Q45" s="457"/>
      <c r="R45" s="457"/>
      <c r="S45" s="457"/>
      <c r="T45" s="457"/>
      <c r="U45" s="457"/>
    </row>
    <row r="46" spans="2:21" x14ac:dyDescent="0.25">
      <c r="C46" s="228" t="str">
        <f>'Simple Budget'!C46</f>
        <v>Shutdown kid price, all else equal, $ per lb</v>
      </c>
      <c r="D46" s="3"/>
      <c r="E46" s="3"/>
      <c r="F46" s="3"/>
      <c r="G46" s="3"/>
      <c r="H46" s="3"/>
      <c r="I46" s="7"/>
      <c r="J46" s="354">
        <f>'Simple Budget'!J46</f>
        <v>2.3797327601941292</v>
      </c>
      <c r="K46" s="385"/>
      <c r="L46" s="3"/>
      <c r="N46" s="457"/>
      <c r="O46" s="457"/>
      <c r="P46" s="457"/>
      <c r="Q46" s="457"/>
      <c r="R46" s="457"/>
      <c r="S46" s="457"/>
      <c r="T46" s="457"/>
      <c r="U46" s="457"/>
    </row>
    <row r="47" spans="2:21" ht="15" customHeight="1" x14ac:dyDescent="0.25">
      <c r="C47" s="439" t="str">
        <f>'Simple Budget'!C47</f>
        <v>Breakeven kid price, all else equal, $ per lb</v>
      </c>
      <c r="D47" s="282"/>
      <c r="E47" s="282"/>
      <c r="F47" s="282"/>
      <c r="G47" s="282"/>
      <c r="H47" s="282"/>
      <c r="I47" s="12"/>
      <c r="J47" s="408">
        <f>'Simple Budget'!J47</f>
        <v>3.0800841911705605</v>
      </c>
      <c r="K47" s="400"/>
      <c r="L47" s="282"/>
      <c r="N47" s="457"/>
      <c r="O47" s="457"/>
      <c r="P47" s="457"/>
      <c r="Q47" s="457"/>
      <c r="R47" s="457"/>
      <c r="S47" s="457"/>
      <c r="T47" s="457"/>
      <c r="U47" s="457"/>
    </row>
    <row r="48" spans="2:21" ht="28.5" customHeight="1" x14ac:dyDescent="0.25">
      <c r="C48" s="1" t="str">
        <f>'Simple Budget'!C48</f>
        <v>Prepared by Jennifer Lutes, Field Specialist in Agriculture Business and Policy</v>
      </c>
      <c r="N48" s="440"/>
      <c r="O48" s="440"/>
      <c r="P48" s="440"/>
      <c r="Q48" s="440"/>
      <c r="R48" s="440"/>
      <c r="S48" s="440"/>
      <c r="T48" s="440"/>
      <c r="U48" s="440"/>
    </row>
    <row r="49" spans="3:3" x14ac:dyDescent="0.25">
      <c r="C49" s="438" t="str">
        <f>'Simple Budget'!C49</f>
        <v>October 2023</v>
      </c>
    </row>
  </sheetData>
  <sheetProtection sheet="1" objects="1" scenarios="1"/>
  <mergeCells count="2">
    <mergeCell ref="B3:L3"/>
    <mergeCell ref="N38:U47"/>
  </mergeCells>
  <pageMargins left="0.7" right="0.7" top="0.75" bottom="0.75" header="0.3" footer="0.3"/>
  <pageSetup scale="80" fitToWidth="2" orientation="portrait" r:id="rId1"/>
  <headerFooter>
    <oddFooter>&amp;L&amp;9&amp;F   &amp;D&amp;R&amp;P</oddFooter>
  </headerFooter>
  <colBreaks count="1" manualBreakCount="1">
    <brk id="12" min="1"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2:Q30"/>
  <sheetViews>
    <sheetView showGridLines="0" zoomScaleNormal="100" workbookViewId="0"/>
  </sheetViews>
  <sheetFormatPr defaultColWidth="9.140625" defaultRowHeight="15" x14ac:dyDescent="0.25"/>
  <cols>
    <col min="1" max="1" width="5" style="1" customWidth="1"/>
    <col min="2" max="2" width="38" style="1" customWidth="1"/>
    <col min="3" max="3" width="16.140625" style="1" customWidth="1"/>
    <col min="4" max="4" width="12" style="1" customWidth="1"/>
    <col min="5" max="5" width="15.7109375" style="1" customWidth="1"/>
    <col min="6" max="6" width="10.28515625" style="1" customWidth="1"/>
    <col min="7" max="7" width="8.42578125" style="1" customWidth="1"/>
    <col min="8" max="12" width="9.7109375" style="1" customWidth="1"/>
    <col min="13" max="16384" width="9.140625" style="1"/>
  </cols>
  <sheetData>
    <row r="2" spans="2:17" x14ac:dyDescent="0.25">
      <c r="B2" s="14" t="s">
        <v>205</v>
      </c>
      <c r="C2" s="13"/>
      <c r="D2" s="13"/>
      <c r="E2" s="13"/>
      <c r="F2" s="13"/>
      <c r="G2" s="29"/>
      <c r="H2" s="29"/>
      <c r="I2" s="29"/>
      <c r="J2" s="29"/>
      <c r="Q2" s="44"/>
    </row>
    <row r="4" spans="2:17" x14ac:dyDescent="0.25">
      <c r="B4" s="331" t="s">
        <v>202</v>
      </c>
      <c r="C4" s="332"/>
      <c r="D4" s="332"/>
      <c r="E4" s="332"/>
      <c r="F4" s="332"/>
    </row>
    <row r="5" spans="2:17" x14ac:dyDescent="0.25">
      <c r="B5" s="3"/>
      <c r="C5" s="3"/>
      <c r="D5" s="48" t="s">
        <v>109</v>
      </c>
      <c r="E5" s="3"/>
      <c r="F5" s="48" t="s">
        <v>122</v>
      </c>
    </row>
    <row r="6" spans="2:17" x14ac:dyDescent="0.25">
      <c r="B6" s="49" t="s">
        <v>9</v>
      </c>
      <c r="C6" s="50" t="s">
        <v>4</v>
      </c>
      <c r="D6" s="50" t="s">
        <v>8</v>
      </c>
      <c r="E6" s="50" t="s">
        <v>1</v>
      </c>
      <c r="F6" s="50" t="s">
        <v>132</v>
      </c>
    </row>
    <row r="7" spans="2:17" x14ac:dyDescent="0.25">
      <c r="B7" s="23" t="s">
        <v>117</v>
      </c>
      <c r="C7" s="19" t="s">
        <v>54</v>
      </c>
      <c r="D7" s="53">
        <v>25</v>
      </c>
      <c r="E7" s="51" t="s">
        <v>359</v>
      </c>
      <c r="F7" s="52"/>
      <c r="G7" s="367" t="s">
        <v>237</v>
      </c>
    </row>
    <row r="8" spans="2:17" x14ac:dyDescent="0.25">
      <c r="B8" s="23" t="s">
        <v>117</v>
      </c>
      <c r="C8" s="19" t="s">
        <v>54</v>
      </c>
      <c r="D8" s="53">
        <v>35</v>
      </c>
      <c r="E8" s="54" t="s">
        <v>390</v>
      </c>
      <c r="F8" s="52"/>
      <c r="G8" s="451" t="s">
        <v>393</v>
      </c>
    </row>
    <row r="9" spans="2:17" x14ac:dyDescent="0.25">
      <c r="B9" s="23" t="s">
        <v>21</v>
      </c>
      <c r="C9" s="19" t="s">
        <v>0</v>
      </c>
      <c r="D9" s="53">
        <v>200</v>
      </c>
      <c r="E9" s="54" t="s">
        <v>159</v>
      </c>
      <c r="F9" s="55">
        <v>0.12</v>
      </c>
      <c r="G9" s="367" t="s">
        <v>234</v>
      </c>
    </row>
    <row r="10" spans="2:17" x14ac:dyDescent="0.25">
      <c r="B10" s="23" t="s">
        <v>21</v>
      </c>
      <c r="C10" s="19" t="s">
        <v>0</v>
      </c>
      <c r="D10" s="53">
        <v>165</v>
      </c>
      <c r="E10" s="54" t="s">
        <v>360</v>
      </c>
      <c r="F10" s="55">
        <v>0.12</v>
      </c>
    </row>
    <row r="11" spans="2:17" x14ac:dyDescent="0.25">
      <c r="B11" s="23" t="s">
        <v>21</v>
      </c>
      <c r="C11" s="19" t="s">
        <v>0</v>
      </c>
      <c r="D11" s="53">
        <v>155</v>
      </c>
      <c r="E11" s="54" t="s">
        <v>361</v>
      </c>
      <c r="F11" s="55">
        <v>0.15</v>
      </c>
      <c r="G11" s="458" t="s">
        <v>224</v>
      </c>
      <c r="H11" s="459"/>
    </row>
    <row r="12" spans="2:17" x14ac:dyDescent="0.25">
      <c r="B12" s="23" t="s">
        <v>196</v>
      </c>
      <c r="C12" s="19" t="s">
        <v>197</v>
      </c>
      <c r="D12" s="53">
        <v>300</v>
      </c>
      <c r="E12" s="54"/>
      <c r="F12" s="55">
        <v>0.05</v>
      </c>
      <c r="G12" s="328">
        <f>D12*20</f>
        <v>6000</v>
      </c>
      <c r="H12" s="105" t="s">
        <v>225</v>
      </c>
    </row>
    <row r="13" spans="2:17" x14ac:dyDescent="0.25">
      <c r="B13" s="23" t="s">
        <v>163</v>
      </c>
      <c r="C13" s="19" t="s">
        <v>197</v>
      </c>
      <c r="D13" s="53">
        <v>8.92</v>
      </c>
      <c r="E13" s="56"/>
      <c r="F13" s="55">
        <v>0.05</v>
      </c>
      <c r="G13" s="329">
        <f>D13*0.01*56</f>
        <v>4.9952000000000005</v>
      </c>
      <c r="H13" s="105" t="s">
        <v>226</v>
      </c>
    </row>
    <row r="14" spans="2:17" x14ac:dyDescent="0.25">
      <c r="B14" s="23" t="s">
        <v>389</v>
      </c>
      <c r="C14" s="19" t="s">
        <v>197</v>
      </c>
      <c r="D14" s="53">
        <v>13.75</v>
      </c>
      <c r="E14" s="56"/>
      <c r="F14" s="55">
        <v>0.05</v>
      </c>
      <c r="G14" s="328">
        <f>D14*20</f>
        <v>275</v>
      </c>
      <c r="H14" s="105" t="s">
        <v>225</v>
      </c>
    </row>
    <row r="15" spans="2:17" x14ac:dyDescent="0.25">
      <c r="B15" s="23" t="s">
        <v>161</v>
      </c>
      <c r="C15" s="19" t="s">
        <v>197</v>
      </c>
      <c r="D15" s="53">
        <v>40</v>
      </c>
      <c r="E15" s="56" t="s">
        <v>162</v>
      </c>
      <c r="F15" s="55">
        <v>0.05</v>
      </c>
      <c r="G15" s="328">
        <f>D15*20</f>
        <v>800</v>
      </c>
      <c r="H15" s="105" t="s">
        <v>225</v>
      </c>
    </row>
    <row r="16" spans="2:17" x14ac:dyDescent="0.25">
      <c r="B16" s="23" t="s">
        <v>187</v>
      </c>
      <c r="C16" s="19" t="s">
        <v>197</v>
      </c>
      <c r="D16" s="53">
        <v>50</v>
      </c>
      <c r="E16" s="56"/>
      <c r="F16" s="55">
        <v>0.05</v>
      </c>
      <c r="G16" s="328">
        <f>D16*20</f>
        <v>1000</v>
      </c>
      <c r="H16" s="105" t="s">
        <v>225</v>
      </c>
      <c r="N16" s="76"/>
    </row>
    <row r="17" spans="2:8" x14ac:dyDescent="0.25">
      <c r="B17" s="25" t="s">
        <v>81</v>
      </c>
      <c r="C17" s="57" t="s">
        <v>197</v>
      </c>
      <c r="D17" s="53">
        <v>70</v>
      </c>
      <c r="E17" s="56" t="s">
        <v>104</v>
      </c>
      <c r="F17" s="55">
        <v>0.01</v>
      </c>
      <c r="G17" s="328">
        <f>D17*20</f>
        <v>1400</v>
      </c>
      <c r="H17" s="105" t="s">
        <v>225</v>
      </c>
    </row>
    <row r="18" spans="2:8" x14ac:dyDescent="0.25">
      <c r="B18" s="23"/>
      <c r="C18" s="19"/>
    </row>
    <row r="19" spans="2:8" x14ac:dyDescent="0.25">
      <c r="B19" s="333" t="s">
        <v>242</v>
      </c>
      <c r="C19" s="334"/>
      <c r="D19" s="335"/>
    </row>
    <row r="20" spans="2:8" x14ac:dyDescent="0.25">
      <c r="B20" s="59" t="s">
        <v>121</v>
      </c>
      <c r="C20" s="60" t="s">
        <v>5</v>
      </c>
      <c r="D20" s="53">
        <v>17.7</v>
      </c>
    </row>
    <row r="21" spans="2:8" x14ac:dyDescent="0.25">
      <c r="B21" s="23"/>
      <c r="C21" s="19"/>
    </row>
    <row r="22" spans="2:8" x14ac:dyDescent="0.25">
      <c r="B22" s="333" t="s">
        <v>203</v>
      </c>
      <c r="C22" s="334"/>
      <c r="D22" s="335"/>
    </row>
    <row r="23" spans="2:8" x14ac:dyDescent="0.25">
      <c r="B23" s="61" t="s">
        <v>2</v>
      </c>
      <c r="C23" s="62" t="s">
        <v>6</v>
      </c>
      <c r="D23" s="53">
        <v>4.07</v>
      </c>
      <c r="G23" s="316" t="s">
        <v>243</v>
      </c>
    </row>
    <row r="24" spans="2:8" x14ac:dyDescent="0.25">
      <c r="B24" s="23" t="s">
        <v>3</v>
      </c>
      <c r="C24" s="63" t="s">
        <v>6</v>
      </c>
      <c r="D24" s="53">
        <v>4.4800000000000004</v>
      </c>
    </row>
    <row r="25" spans="2:8" x14ac:dyDescent="0.25">
      <c r="B25" s="64" t="s">
        <v>134</v>
      </c>
      <c r="C25" s="65" t="s">
        <v>133</v>
      </c>
      <c r="D25" s="66">
        <v>4.3999999999999997E-2</v>
      </c>
    </row>
    <row r="26" spans="2:8" x14ac:dyDescent="0.25">
      <c r="B26" s="23"/>
      <c r="C26" s="19"/>
    </row>
    <row r="27" spans="2:8" x14ac:dyDescent="0.25">
      <c r="B27" s="333" t="s">
        <v>204</v>
      </c>
      <c r="C27" s="334"/>
      <c r="D27" s="335"/>
    </row>
    <row r="28" spans="2:8" x14ac:dyDescent="0.25">
      <c r="B28" s="61" t="s">
        <v>11</v>
      </c>
      <c r="C28" s="62" t="s">
        <v>7</v>
      </c>
      <c r="D28" s="67">
        <v>0.09</v>
      </c>
    </row>
    <row r="29" spans="2:8" x14ac:dyDescent="0.25">
      <c r="B29" s="23" t="s">
        <v>115</v>
      </c>
      <c r="C29" s="19" t="s">
        <v>114</v>
      </c>
      <c r="D29" s="68">
        <v>0.75</v>
      </c>
    </row>
    <row r="30" spans="2:8" x14ac:dyDescent="0.25">
      <c r="B30" s="25" t="s">
        <v>44</v>
      </c>
      <c r="C30" s="57" t="s">
        <v>7</v>
      </c>
      <c r="D30" s="67">
        <v>0.05</v>
      </c>
    </row>
  </sheetData>
  <sheetProtection sheet="1" objects="1" scenarios="1"/>
  <mergeCells count="1">
    <mergeCell ref="G11:H11"/>
  </mergeCells>
  <pageMargins left="0.7" right="0.7" top="0.75" bottom="0.75" header="0.3" footer="0.3"/>
  <pageSetup orientation="portrait" r:id="rId1"/>
  <ignoredErrors>
    <ignoredError sqref="G1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P68"/>
  <sheetViews>
    <sheetView showGridLines="0" zoomScale="90" zoomScaleNormal="90" workbookViewId="0">
      <selection activeCell="C1" sqref="C1:G1"/>
    </sheetView>
  </sheetViews>
  <sheetFormatPr defaultColWidth="9.140625" defaultRowHeight="15" x14ac:dyDescent="0.25"/>
  <cols>
    <col min="1" max="1" width="5.42578125" style="1" customWidth="1"/>
    <col min="2" max="2" width="36.140625" style="1" customWidth="1"/>
    <col min="3" max="3" width="17" style="1" customWidth="1"/>
    <col min="4" max="4" width="10.7109375" style="1" customWidth="1"/>
    <col min="5" max="5" width="5.7109375" style="1" customWidth="1"/>
    <col min="6" max="6" width="5" style="1" customWidth="1"/>
    <col min="7" max="7" width="35" style="1" customWidth="1"/>
    <col min="8" max="8" width="14.28515625" style="1" customWidth="1"/>
    <col min="9" max="9" width="12" style="1" customWidth="1"/>
    <col min="10" max="10" width="11.42578125" style="1" customWidth="1"/>
    <col min="11" max="11" width="3.5703125" style="1" customWidth="1"/>
    <col min="12" max="12" width="13.28515625" style="1" customWidth="1"/>
    <col min="13" max="13" width="6" style="1" customWidth="1"/>
    <col min="14" max="14" width="12.7109375" style="1" customWidth="1"/>
    <col min="15" max="15" width="13.85546875" style="1" customWidth="1"/>
    <col min="16" max="16" width="10.140625" style="1" bestFit="1" customWidth="1"/>
    <col min="17" max="16384" width="9.140625" style="1"/>
  </cols>
  <sheetData>
    <row r="1" spans="2:16" x14ac:dyDescent="0.25">
      <c r="B1" s="1" t="s">
        <v>384</v>
      </c>
      <c r="C1" s="460">
        <v>2024</v>
      </c>
      <c r="D1" s="461"/>
      <c r="E1" s="461"/>
      <c r="F1" s="461"/>
      <c r="G1" s="462"/>
    </row>
    <row r="2" spans="2:16" x14ac:dyDescent="0.25">
      <c r="B2" s="1" t="s">
        <v>227</v>
      </c>
      <c r="C2" s="460" t="s">
        <v>385</v>
      </c>
      <c r="D2" s="461"/>
      <c r="E2" s="461"/>
      <c r="F2" s="461"/>
      <c r="G2" s="462"/>
    </row>
    <row r="3" spans="2:16" x14ac:dyDescent="0.25">
      <c r="B3" s="1" t="s">
        <v>233</v>
      </c>
      <c r="C3" s="460" t="s">
        <v>303</v>
      </c>
      <c r="D3" s="461"/>
      <c r="E3" s="461"/>
      <c r="F3" s="461"/>
      <c r="G3" s="462"/>
    </row>
    <row r="5" spans="2:16" x14ac:dyDescent="0.25">
      <c r="B5" s="14" t="s">
        <v>87</v>
      </c>
      <c r="C5" s="14"/>
      <c r="D5" s="14"/>
      <c r="E5" s="69"/>
      <c r="G5" s="14"/>
      <c r="H5" s="13"/>
      <c r="I5" s="13"/>
      <c r="J5" s="13"/>
    </row>
    <row r="6" spans="2:16" x14ac:dyDescent="0.25">
      <c r="B6" s="336" t="s">
        <v>110</v>
      </c>
      <c r="C6" s="337" t="s">
        <v>4</v>
      </c>
      <c r="D6" s="338" t="s">
        <v>12</v>
      </c>
      <c r="E6" s="39" t="s">
        <v>211</v>
      </c>
      <c r="G6" s="339" t="s">
        <v>214</v>
      </c>
      <c r="H6" s="340" t="s">
        <v>17</v>
      </c>
      <c r="I6" s="340" t="s">
        <v>19</v>
      </c>
      <c r="J6" s="340" t="s">
        <v>83</v>
      </c>
      <c r="L6" s="423" t="s">
        <v>155</v>
      </c>
    </row>
    <row r="7" spans="2:16" x14ac:dyDescent="0.25">
      <c r="B7" s="61" t="s">
        <v>272</v>
      </c>
      <c r="C7" s="17"/>
      <c r="D7" s="17">
        <v>1</v>
      </c>
      <c r="E7" s="29"/>
      <c r="G7" s="336"/>
      <c r="H7" s="337" t="s">
        <v>13</v>
      </c>
      <c r="I7" s="337" t="s">
        <v>287</v>
      </c>
      <c r="J7" s="337" t="s">
        <v>282</v>
      </c>
      <c r="L7" s="426" t="s">
        <v>166</v>
      </c>
    </row>
    <row r="8" spans="2:16" x14ac:dyDescent="0.25">
      <c r="B8" s="23" t="s">
        <v>273</v>
      </c>
      <c r="C8" s="2" t="s">
        <v>53</v>
      </c>
      <c r="D8" s="70">
        <v>50</v>
      </c>
      <c r="E8" s="29">
        <f>D8</f>
        <v>50</v>
      </c>
      <c r="G8" s="23" t="str">
        <f>B24</f>
        <v>Heavy kids (Singles in crop)</v>
      </c>
      <c r="H8" s="76">
        <f>C24*D24</f>
        <v>170.39999999999998</v>
      </c>
      <c r="I8" s="77">
        <f>((E16-E17-E18)/E8)-I9</f>
        <v>0.41999999999999993</v>
      </c>
      <c r="J8" s="78">
        <f>H8*I8</f>
        <v>71.567999999999984</v>
      </c>
      <c r="L8" s="424">
        <f>J8*$D$8</f>
        <v>3578.3999999999992</v>
      </c>
      <c r="N8" s="402"/>
      <c r="P8" s="403"/>
    </row>
    <row r="9" spans="2:16" x14ac:dyDescent="0.25">
      <c r="B9" s="23" t="s">
        <v>274</v>
      </c>
      <c r="D9" s="45">
        <v>85</v>
      </c>
      <c r="E9" s="29"/>
      <c r="G9" s="23" t="str">
        <f>B25</f>
        <v>Light kids (Twins in crop)</v>
      </c>
      <c r="H9" s="76">
        <f>C25*D25</f>
        <v>149.5</v>
      </c>
      <c r="I9" s="77">
        <f>(((E16-E17-E18)-E14)/E8*2)</f>
        <v>1.08</v>
      </c>
      <c r="J9" s="78">
        <f>H9*I9</f>
        <v>161.46</v>
      </c>
      <c r="L9" s="424">
        <f>J9*$D$8</f>
        <v>8073</v>
      </c>
      <c r="N9" s="405"/>
    </row>
    <row r="10" spans="2:16" x14ac:dyDescent="0.25">
      <c r="B10" s="23" t="s">
        <v>294</v>
      </c>
      <c r="C10" s="2" t="s">
        <v>275</v>
      </c>
      <c r="D10" s="67">
        <v>0.14000000000000001</v>
      </c>
      <c r="E10" s="29">
        <f>ROUND(D10*E8,0)</f>
        <v>7</v>
      </c>
      <c r="G10" s="23" t="s">
        <v>276</v>
      </c>
      <c r="H10" s="76">
        <f>C27*D27</f>
        <v>200</v>
      </c>
      <c r="I10" s="77">
        <f>D10</f>
        <v>0.14000000000000001</v>
      </c>
      <c r="J10" s="78">
        <f>H10*I10</f>
        <v>28.000000000000004</v>
      </c>
      <c r="L10" s="424">
        <f>J10*$D$8</f>
        <v>1400.0000000000002</v>
      </c>
    </row>
    <row r="11" spans="2:16" x14ac:dyDescent="0.25">
      <c r="B11" s="23" t="s">
        <v>295</v>
      </c>
      <c r="C11" s="2" t="s">
        <v>53</v>
      </c>
      <c r="D11" s="70">
        <v>2</v>
      </c>
      <c r="E11" s="47">
        <f>D11</f>
        <v>2</v>
      </c>
      <c r="G11" s="23" t="s">
        <v>293</v>
      </c>
      <c r="H11" s="76">
        <f>C28*D28</f>
        <v>271.25</v>
      </c>
      <c r="I11" s="77">
        <f>((D11/D8)/D12)</f>
        <v>0.02</v>
      </c>
      <c r="J11" s="78">
        <f>H11*I11</f>
        <v>5.4249999999999998</v>
      </c>
      <c r="L11" s="424">
        <f>J11*$D$8</f>
        <v>271.25</v>
      </c>
    </row>
    <row r="12" spans="2:16" x14ac:dyDescent="0.25">
      <c r="B12" s="23" t="s">
        <v>296</v>
      </c>
      <c r="C12" s="2" t="s">
        <v>74</v>
      </c>
      <c r="D12" s="71">
        <v>2</v>
      </c>
      <c r="E12" s="29"/>
      <c r="G12" s="79" t="s">
        <v>88</v>
      </c>
      <c r="H12" s="13"/>
      <c r="I12" s="13"/>
      <c r="J12" s="80">
        <f>SUM(J8:J11)</f>
        <v>266.45300000000003</v>
      </c>
      <c r="L12" s="425">
        <f>SUM(L8:L11)</f>
        <v>13322.65</v>
      </c>
      <c r="N12" s="402"/>
    </row>
    <row r="13" spans="2:16" x14ac:dyDescent="0.25">
      <c r="B13" s="23" t="s">
        <v>55</v>
      </c>
      <c r="C13" s="2" t="s">
        <v>275</v>
      </c>
      <c r="D13" s="67">
        <v>0.02</v>
      </c>
      <c r="E13" s="47">
        <f>(E8+E11)*D13</f>
        <v>1.04</v>
      </c>
    </row>
    <row r="14" spans="2:16" x14ac:dyDescent="0.25">
      <c r="B14" s="23" t="s">
        <v>288</v>
      </c>
      <c r="C14" s="2" t="s">
        <v>277</v>
      </c>
      <c r="D14" s="72">
        <v>0.95</v>
      </c>
      <c r="E14" s="47">
        <f>ROUND(D8*D14,0)</f>
        <v>48</v>
      </c>
      <c r="G14" s="333" t="s">
        <v>215</v>
      </c>
      <c r="H14" s="338" t="s">
        <v>4</v>
      </c>
      <c r="I14" s="338" t="s">
        <v>12</v>
      </c>
    </row>
    <row r="15" spans="2:16" x14ac:dyDescent="0.25">
      <c r="B15" s="23" t="s">
        <v>299</v>
      </c>
      <c r="C15" s="2" t="s">
        <v>278</v>
      </c>
      <c r="D15" s="72">
        <v>1.65</v>
      </c>
      <c r="E15" s="47">
        <f>ROUND(D8*D15,0)</f>
        <v>83</v>
      </c>
      <c r="G15" s="23" t="s">
        <v>378</v>
      </c>
      <c r="H15" s="2" t="s">
        <v>279</v>
      </c>
      <c r="I15" s="82">
        <f>(D40)/((D8/D11)*D12)</f>
        <v>5.4</v>
      </c>
    </row>
    <row r="16" spans="2:16" x14ac:dyDescent="0.25">
      <c r="B16" s="23" t="s">
        <v>290</v>
      </c>
      <c r="C16" s="2" t="s">
        <v>275</v>
      </c>
      <c r="D16" s="161">
        <f>ROUND(D14*D15,2)</f>
        <v>1.57</v>
      </c>
      <c r="E16" s="47">
        <f>ROUND(D8*D16,0)</f>
        <v>79</v>
      </c>
      <c r="G16" s="81" t="s">
        <v>280</v>
      </c>
      <c r="H16" s="2" t="s">
        <v>279</v>
      </c>
      <c r="I16" s="82">
        <f>D39*(D10+D13)</f>
        <v>33.6</v>
      </c>
      <c r="O16" s="47"/>
    </row>
    <row r="17" spans="2:16" x14ac:dyDescent="0.25">
      <c r="B17" s="23" t="s">
        <v>297</v>
      </c>
      <c r="C17" s="2" t="s">
        <v>291</v>
      </c>
      <c r="D17" s="67">
        <v>0.03</v>
      </c>
      <c r="E17" s="47">
        <f>ROUND(D17*E16,0)</f>
        <v>2</v>
      </c>
      <c r="G17" s="83" t="s">
        <v>143</v>
      </c>
      <c r="H17" s="15" t="s">
        <v>279</v>
      </c>
      <c r="I17" s="84">
        <f>((D41*D19)*(1/D20))/D8</f>
        <v>1.75</v>
      </c>
      <c r="N17" s="34"/>
      <c r="O17" s="126"/>
    </row>
    <row r="18" spans="2:16" x14ac:dyDescent="0.25">
      <c r="B18" s="23" t="s">
        <v>298</v>
      </c>
      <c r="C18" s="2" t="s">
        <v>183</v>
      </c>
      <c r="D18" s="67">
        <v>0.03</v>
      </c>
      <c r="E18" s="47">
        <f>ROUND(D18*(E16-E17),0)</f>
        <v>2</v>
      </c>
      <c r="N18" s="34"/>
      <c r="O18" s="21"/>
    </row>
    <row r="19" spans="2:16" x14ac:dyDescent="0.25">
      <c r="B19" s="23" t="s">
        <v>73</v>
      </c>
      <c r="C19" s="2" t="s">
        <v>53</v>
      </c>
      <c r="D19" s="70">
        <v>2</v>
      </c>
      <c r="E19" s="150"/>
      <c r="G19" s="333" t="s">
        <v>281</v>
      </c>
      <c r="H19" s="338"/>
      <c r="I19" s="338" t="s">
        <v>12</v>
      </c>
      <c r="N19" s="21"/>
    </row>
    <row r="20" spans="2:16" x14ac:dyDescent="0.25">
      <c r="B20" s="25" t="s">
        <v>75</v>
      </c>
      <c r="C20" s="15" t="s">
        <v>74</v>
      </c>
      <c r="D20" s="70">
        <v>8</v>
      </c>
      <c r="E20" s="150"/>
      <c r="G20" s="23" t="s">
        <v>289</v>
      </c>
      <c r="I20" s="76">
        <f>((D10*2)*D36)+(0.5*D37)+((0.5-(D10*2))*D38)</f>
        <v>221.7</v>
      </c>
      <c r="N20" s="34"/>
    </row>
    <row r="21" spans="2:16" x14ac:dyDescent="0.25">
      <c r="G21" s="23" t="s">
        <v>15</v>
      </c>
      <c r="I21" s="76">
        <f>(D10+D13)*D39</f>
        <v>33.6</v>
      </c>
      <c r="M21" s="112"/>
      <c r="P21" s="76"/>
    </row>
    <row r="22" spans="2:16" x14ac:dyDescent="0.25">
      <c r="B22" s="339" t="s">
        <v>216</v>
      </c>
      <c r="C22" s="340" t="s">
        <v>18</v>
      </c>
      <c r="D22" s="341" t="s">
        <v>14</v>
      </c>
      <c r="G22" s="148" t="s">
        <v>300</v>
      </c>
      <c r="H22" s="24"/>
      <c r="I22" s="149">
        <f>(D11/D8)*D40</f>
        <v>10.8</v>
      </c>
      <c r="N22" s="34"/>
      <c r="P22" s="76"/>
    </row>
    <row r="23" spans="2:16" x14ac:dyDescent="0.25">
      <c r="B23" s="336"/>
      <c r="C23" s="337" t="s">
        <v>89</v>
      </c>
      <c r="D23" s="342" t="s">
        <v>56</v>
      </c>
      <c r="G23" s="25" t="s">
        <v>16</v>
      </c>
      <c r="H23" s="13"/>
      <c r="I23" s="155">
        <f>SUM(I20:I22)</f>
        <v>266.09999999999997</v>
      </c>
    </row>
    <row r="24" spans="2:16" x14ac:dyDescent="0.25">
      <c r="B24" s="23" t="s">
        <v>380</v>
      </c>
      <c r="C24" s="74">
        <v>60</v>
      </c>
      <c r="D24" s="75">
        <v>2.84</v>
      </c>
      <c r="E24" s="47">
        <f>(E16-E17-E18)-E25</f>
        <v>21</v>
      </c>
      <c r="F24" s="407">
        <f>E24/SUM(E24:E25)</f>
        <v>0.28000000000000003</v>
      </c>
      <c r="G24" s="416"/>
    </row>
    <row r="25" spans="2:16" x14ac:dyDescent="0.25">
      <c r="B25" s="23" t="s">
        <v>381</v>
      </c>
      <c r="C25" s="74">
        <v>50</v>
      </c>
      <c r="D25" s="75">
        <v>2.99</v>
      </c>
      <c r="E25" s="47">
        <f>((E16-E17-E18)-E14)*2</f>
        <v>54</v>
      </c>
      <c r="F25" s="407">
        <f>E25/SUM(E24:E25)</f>
        <v>0.72</v>
      </c>
      <c r="G25" s="416"/>
      <c r="L25" s="76"/>
      <c r="O25" s="76"/>
    </row>
    <row r="26" spans="2:16" x14ac:dyDescent="0.25">
      <c r="B26" s="23" t="s">
        <v>382</v>
      </c>
      <c r="C26" s="314"/>
      <c r="D26" s="404">
        <f>SUMPRODUCT(D24:D25,F24:F25)</f>
        <v>2.948</v>
      </c>
      <c r="E26" s="29"/>
      <c r="G26" s="417"/>
      <c r="O26" s="76"/>
    </row>
    <row r="27" spans="2:16" x14ac:dyDescent="0.25">
      <c r="B27" s="23" t="s">
        <v>276</v>
      </c>
      <c r="C27" s="74">
        <v>125</v>
      </c>
      <c r="D27" s="75">
        <v>1.6</v>
      </c>
      <c r="G27" s="76"/>
    </row>
    <row r="28" spans="2:16" x14ac:dyDescent="0.25">
      <c r="B28" s="25" t="s">
        <v>293</v>
      </c>
      <c r="C28" s="74">
        <v>175</v>
      </c>
      <c r="D28" s="75">
        <v>1.55</v>
      </c>
    </row>
    <row r="29" spans="2:16" x14ac:dyDescent="0.25">
      <c r="B29" s="406" t="s">
        <v>383</v>
      </c>
    </row>
    <row r="31" spans="2:16" x14ac:dyDescent="0.25">
      <c r="B31" s="333" t="s">
        <v>213</v>
      </c>
      <c r="C31" s="333"/>
      <c r="D31" s="333"/>
      <c r="G31" s="355" t="s">
        <v>210</v>
      </c>
      <c r="H31" s="356" t="s">
        <v>301</v>
      </c>
      <c r="I31" s="356" t="s">
        <v>206</v>
      </c>
      <c r="J31" s="356" t="s">
        <v>26</v>
      </c>
    </row>
    <row r="32" spans="2:16" x14ac:dyDescent="0.25">
      <c r="B32" s="1" t="s">
        <v>302</v>
      </c>
      <c r="D32" s="147">
        <v>0.38</v>
      </c>
      <c r="G32" s="357"/>
      <c r="H32" s="357" t="s">
        <v>118</v>
      </c>
      <c r="I32" s="357" t="s">
        <v>152</v>
      </c>
      <c r="J32" s="357" t="s">
        <v>119</v>
      </c>
    </row>
    <row r="33" spans="2:10" x14ac:dyDescent="0.25">
      <c r="B33" s="13" t="s">
        <v>292</v>
      </c>
      <c r="C33" s="450"/>
      <c r="D33" s="45">
        <v>0.23</v>
      </c>
      <c r="G33" s="358" t="s">
        <v>304</v>
      </c>
      <c r="H33" s="359">
        <f>(SUM(C27*D8,C28*D11))/J33</f>
        <v>334.00809716599196</v>
      </c>
      <c r="I33" s="360">
        <f>1/D32</f>
        <v>2.6315789473684212</v>
      </c>
      <c r="J33" s="361">
        <f>($D$8+$D$11)/I33</f>
        <v>19.759999999999998</v>
      </c>
    </row>
    <row r="34" spans="2:10" x14ac:dyDescent="0.25">
      <c r="G34" s="418" t="str">
        <f>CONCATENATE("Pasture alloc. For"," ",C24*1.3," lb feeders")</f>
        <v>Pasture alloc. For 78 lb feeders</v>
      </c>
      <c r="H34" s="362">
        <f>SUMPRODUCT(C24:C25,E24:E25)/J34</f>
        <v>228.04491793838181</v>
      </c>
      <c r="I34" s="419">
        <f>1/D33</f>
        <v>4.3478260869565215</v>
      </c>
      <c r="J34" s="420">
        <f>D33*D8*(D16-D17-D18)</f>
        <v>17.364999999999998</v>
      </c>
    </row>
    <row r="35" spans="2:10" x14ac:dyDescent="0.25">
      <c r="B35" s="333" t="s">
        <v>212</v>
      </c>
      <c r="C35" s="338" t="s">
        <v>4</v>
      </c>
      <c r="D35" s="343" t="s">
        <v>12</v>
      </c>
      <c r="G35" s="421" t="s">
        <v>120</v>
      </c>
      <c r="H35" s="421"/>
      <c r="I35" s="421"/>
      <c r="J35" s="422">
        <f>SUM(J33:J34)</f>
        <v>37.125</v>
      </c>
    </row>
    <row r="36" spans="2:10" x14ac:dyDescent="0.25">
      <c r="B36" s="23" t="s">
        <v>283</v>
      </c>
      <c r="C36" s="2" t="s">
        <v>13</v>
      </c>
      <c r="D36" s="153">
        <v>210</v>
      </c>
    </row>
    <row r="37" spans="2:10" x14ac:dyDescent="0.25">
      <c r="B37" s="23" t="s">
        <v>284</v>
      </c>
      <c r="C37" s="2" t="s">
        <v>13</v>
      </c>
      <c r="D37" s="153">
        <v>240</v>
      </c>
    </row>
    <row r="38" spans="2:10" x14ac:dyDescent="0.25">
      <c r="B38" s="23" t="s">
        <v>285</v>
      </c>
      <c r="C38" s="2" t="s">
        <v>13</v>
      </c>
      <c r="D38" s="153">
        <v>195</v>
      </c>
    </row>
    <row r="39" spans="2:10" x14ac:dyDescent="0.25">
      <c r="B39" s="23" t="s">
        <v>286</v>
      </c>
      <c r="C39" s="2" t="s">
        <v>13</v>
      </c>
      <c r="D39" s="153">
        <v>210</v>
      </c>
    </row>
    <row r="40" spans="2:10" x14ac:dyDescent="0.25">
      <c r="B40" s="23" t="s">
        <v>305</v>
      </c>
      <c r="C40" s="2" t="s">
        <v>13</v>
      </c>
      <c r="D40" s="153">
        <v>270</v>
      </c>
    </row>
    <row r="41" spans="2:10" ht="15" customHeight="1" x14ac:dyDescent="0.25">
      <c r="B41" s="25" t="s">
        <v>150</v>
      </c>
      <c r="C41" s="15" t="s">
        <v>13</v>
      </c>
      <c r="D41" s="153">
        <v>350</v>
      </c>
    </row>
    <row r="58" spans="3:4" x14ac:dyDescent="0.25">
      <c r="D58" s="22"/>
    </row>
    <row r="59" spans="3:4" x14ac:dyDescent="0.25">
      <c r="C59" s="21"/>
      <c r="D59" s="22"/>
    </row>
    <row r="60" spans="3:4" x14ac:dyDescent="0.25">
      <c r="D60" s="22"/>
    </row>
    <row r="61" spans="3:4" x14ac:dyDescent="0.25">
      <c r="C61" s="21"/>
      <c r="D61" s="22"/>
    </row>
    <row r="62" spans="3:4" x14ac:dyDescent="0.25">
      <c r="C62" s="21"/>
      <c r="D62" s="22"/>
    </row>
    <row r="63" spans="3:4" x14ac:dyDescent="0.25">
      <c r="C63" s="21"/>
      <c r="D63" s="22"/>
    </row>
    <row r="64" spans="3:4" x14ac:dyDescent="0.25">
      <c r="C64" s="112"/>
      <c r="D64" s="22"/>
    </row>
    <row r="65" spans="3:4" x14ac:dyDescent="0.25">
      <c r="C65" s="112"/>
      <c r="D65" s="22"/>
    </row>
    <row r="66" spans="3:4" x14ac:dyDescent="0.25">
      <c r="C66" s="112"/>
      <c r="D66" s="22"/>
    </row>
    <row r="67" spans="3:4" x14ac:dyDescent="0.25">
      <c r="D67" s="22"/>
    </row>
    <row r="68" spans="3:4" x14ac:dyDescent="0.25">
      <c r="D68" s="22"/>
    </row>
  </sheetData>
  <sheetProtection sheet="1" objects="1" scenarios="1"/>
  <mergeCells count="3">
    <mergeCell ref="C2:G2"/>
    <mergeCell ref="C3:G3"/>
    <mergeCell ref="C1:G1"/>
  </mergeCells>
  <pageMargins left="0.7" right="0.7" top="0.75" bottom="0.75" header="0.3" footer="0.3"/>
  <pageSetup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2:P64"/>
  <sheetViews>
    <sheetView showGridLines="0" zoomScaleNormal="100" workbookViewId="0">
      <selection activeCell="E28" sqref="E28"/>
    </sheetView>
  </sheetViews>
  <sheetFormatPr defaultColWidth="9.140625" defaultRowHeight="15" x14ac:dyDescent="0.25"/>
  <cols>
    <col min="1" max="1" width="4.42578125" style="1" customWidth="1"/>
    <col min="2" max="2" width="43.85546875" style="1" customWidth="1"/>
    <col min="3" max="3" width="14.42578125" style="1" customWidth="1"/>
    <col min="4" max="4" width="11.140625" style="1" customWidth="1"/>
    <col min="5" max="5" width="10.7109375" style="1" customWidth="1"/>
    <col min="6" max="10" width="10.7109375" style="2" customWidth="1"/>
    <col min="11" max="11" width="3.42578125" style="2" customWidth="1"/>
    <col min="12" max="12" width="10.7109375" style="2" customWidth="1"/>
    <col min="13" max="13" width="10.7109375" style="1" customWidth="1"/>
    <col min="14" max="14" width="4.85546875" style="1" customWidth="1"/>
    <col min="15" max="15" width="40.85546875" style="1" customWidth="1"/>
    <col min="16" max="16384" width="9.140625" style="1"/>
  </cols>
  <sheetData>
    <row r="2" spans="2:16" x14ac:dyDescent="0.25">
      <c r="B2" s="14" t="s">
        <v>267</v>
      </c>
      <c r="C2" s="13"/>
      <c r="D2" s="13"/>
      <c r="E2" s="13"/>
      <c r="F2" s="15"/>
      <c r="G2" s="15"/>
      <c r="H2" s="15"/>
      <c r="I2" s="15"/>
      <c r="J2" s="15"/>
      <c r="K2" s="15"/>
      <c r="L2" s="15"/>
      <c r="M2" s="13"/>
    </row>
    <row r="3" spans="2:16" x14ac:dyDescent="0.25">
      <c r="B3" s="16"/>
      <c r="C3" s="17"/>
      <c r="D3" s="17"/>
      <c r="E3" s="17"/>
      <c r="F3" s="18"/>
      <c r="G3" s="18"/>
      <c r="H3" s="18"/>
      <c r="I3" s="18"/>
      <c r="J3" s="18"/>
      <c r="K3" s="18"/>
      <c r="L3" s="18"/>
      <c r="M3" s="17"/>
    </row>
    <row r="4" spans="2:16" x14ac:dyDescent="0.25">
      <c r="B4" s="333" t="s">
        <v>268</v>
      </c>
      <c r="C4" s="333"/>
      <c r="D4" s="333"/>
      <c r="E4" s="349"/>
      <c r="F4" s="349"/>
      <c r="G4" s="349"/>
      <c r="H4" s="349"/>
      <c r="I4" s="349"/>
      <c r="J4" s="349"/>
      <c r="K4" s="349"/>
      <c r="L4" s="349"/>
      <c r="M4" s="349"/>
      <c r="N4" s="117"/>
      <c r="O4" s="117"/>
    </row>
    <row r="5" spans="2:16" ht="15" customHeight="1" x14ac:dyDescent="0.25">
      <c r="B5" s="3"/>
      <c r="C5" s="151"/>
      <c r="D5" s="463" t="s">
        <v>228</v>
      </c>
      <c r="E5" s="464"/>
      <c r="F5" s="464"/>
      <c r="G5" s="464"/>
      <c r="H5" s="464"/>
      <c r="I5" s="464"/>
      <c r="J5" s="464"/>
      <c r="K5" s="464"/>
      <c r="L5" s="464"/>
      <c r="M5" s="465"/>
    </row>
    <row r="6" spans="2:16" x14ac:dyDescent="0.25">
      <c r="B6" s="3"/>
      <c r="C6" s="3"/>
      <c r="D6" s="7" t="s">
        <v>306</v>
      </c>
      <c r="E6" s="3"/>
      <c r="F6" s="7" t="s">
        <v>63</v>
      </c>
      <c r="G6" s="7" t="s">
        <v>58</v>
      </c>
      <c r="H6" s="7" t="s">
        <v>67</v>
      </c>
      <c r="I6" s="7" t="s">
        <v>59</v>
      </c>
      <c r="J6" s="7" t="s">
        <v>231</v>
      </c>
      <c r="K6" s="7"/>
      <c r="L6" s="7" t="s">
        <v>312</v>
      </c>
      <c r="M6" s="7" t="s">
        <v>62</v>
      </c>
      <c r="N6" s="2"/>
    </row>
    <row r="7" spans="2:16" x14ac:dyDescent="0.25">
      <c r="B7" s="4"/>
      <c r="C7" s="4"/>
      <c r="D7" s="5" t="s">
        <v>176</v>
      </c>
      <c r="E7" s="5" t="s">
        <v>57</v>
      </c>
      <c r="F7" s="5" t="s">
        <v>64</v>
      </c>
      <c r="G7" s="5" t="s">
        <v>64</v>
      </c>
      <c r="H7" s="5" t="s">
        <v>307</v>
      </c>
      <c r="I7" s="5" t="s">
        <v>316</v>
      </c>
      <c r="J7" s="5" t="s">
        <v>316</v>
      </c>
      <c r="K7" s="5"/>
      <c r="L7" s="5" t="s">
        <v>65</v>
      </c>
      <c r="M7" s="5" t="s">
        <v>322</v>
      </c>
      <c r="N7" s="2"/>
      <c r="O7" s="30" t="s">
        <v>111</v>
      </c>
      <c r="P7" s="31" t="s">
        <v>80</v>
      </c>
    </row>
    <row r="8" spans="2:16" x14ac:dyDescent="0.25">
      <c r="B8" s="1" t="s">
        <v>239</v>
      </c>
      <c r="C8" s="19"/>
      <c r="D8" s="216" t="s">
        <v>238</v>
      </c>
      <c r="E8" s="216" t="s">
        <v>362</v>
      </c>
      <c r="F8" s="216" t="s">
        <v>363</v>
      </c>
      <c r="G8" s="216" t="s">
        <v>386</v>
      </c>
      <c r="H8" s="216" t="s">
        <v>364</v>
      </c>
      <c r="I8" s="216" t="s">
        <v>365</v>
      </c>
      <c r="J8" s="216" t="s">
        <v>366</v>
      </c>
      <c r="K8" s="19"/>
      <c r="L8" s="216" t="s">
        <v>246</v>
      </c>
      <c r="M8" s="216" t="s">
        <v>367</v>
      </c>
      <c r="N8" s="2"/>
      <c r="O8" s="156"/>
      <c r="P8" s="39"/>
    </row>
    <row r="9" spans="2:16" x14ac:dyDescent="0.25">
      <c r="B9" s="1" t="s">
        <v>66</v>
      </c>
      <c r="C9" s="19" t="s">
        <v>60</v>
      </c>
      <c r="D9" s="22">
        <v>365</v>
      </c>
      <c r="E9" s="210">
        <v>14</v>
      </c>
      <c r="F9" s="210">
        <f>31+30+31</f>
        <v>92</v>
      </c>
      <c r="G9" s="210">
        <f>31+25</f>
        <v>56</v>
      </c>
      <c r="H9" s="210">
        <v>10</v>
      </c>
      <c r="I9" s="1">
        <f>'Flock Assumptions'!D9</f>
        <v>85</v>
      </c>
      <c r="J9" s="210">
        <f>17+30+31+30</f>
        <v>108</v>
      </c>
      <c r="K9" s="1"/>
      <c r="L9" s="210">
        <v>15</v>
      </c>
      <c r="M9" s="210">
        <v>35</v>
      </c>
      <c r="N9" s="2"/>
      <c r="O9" s="37" t="s">
        <v>317</v>
      </c>
      <c r="P9" s="38">
        <f>SUM(E9:J9)</f>
        <v>365</v>
      </c>
    </row>
    <row r="10" spans="2:16" x14ac:dyDescent="0.25">
      <c r="B10" s="1" t="s">
        <v>160</v>
      </c>
      <c r="C10" s="19" t="s">
        <v>68</v>
      </c>
      <c r="D10" s="21">
        <f>'Flock Assumptions'!D11</f>
        <v>2</v>
      </c>
      <c r="E10" s="2">
        <f>'Flock Assumptions'!$D$8</f>
        <v>50</v>
      </c>
      <c r="F10" s="2">
        <f>'Flock Assumptions'!$D$8</f>
        <v>50</v>
      </c>
      <c r="G10" s="2">
        <f>'Flock Assumptions'!$D$8</f>
        <v>50</v>
      </c>
      <c r="H10" s="2">
        <f>'Flock Assumptions'!$D$8</f>
        <v>50</v>
      </c>
      <c r="I10" s="2">
        <f>'Flock Assumptions'!$D$8</f>
        <v>50</v>
      </c>
      <c r="J10" s="20">
        <f>'Flock Assumptions'!D8</f>
        <v>50</v>
      </c>
      <c r="K10" s="1"/>
      <c r="L10" s="20">
        <f>ROUND('Flock Assumptions'!E16-(0.5*'Flock Assumptions'!E17),0)</f>
        <v>78</v>
      </c>
      <c r="M10" s="20">
        <f>ROUND(('Flock Assumptions'!E16-'Flock Assumptions'!E17)-(0.5*'Flock Assumptions'!E18),0)</f>
        <v>76</v>
      </c>
      <c r="N10" s="20"/>
      <c r="O10" s="37" t="s">
        <v>308</v>
      </c>
      <c r="P10" s="38">
        <f>I9+M9</f>
        <v>120</v>
      </c>
    </row>
    <row r="11" spans="2:16" x14ac:dyDescent="0.25">
      <c r="C11" s="19"/>
      <c r="D11" s="21"/>
      <c r="E11" s="2"/>
      <c r="J11" s="20"/>
      <c r="K11" s="1"/>
      <c r="L11" s="20"/>
      <c r="M11" s="20"/>
      <c r="N11" s="20"/>
      <c r="O11" s="3"/>
      <c r="P11" s="3"/>
    </row>
    <row r="12" spans="2:16" ht="15" customHeight="1" x14ac:dyDescent="0.25">
      <c r="C12" s="152"/>
      <c r="D12" s="463" t="s">
        <v>229</v>
      </c>
      <c r="E12" s="464"/>
      <c r="F12" s="464"/>
      <c r="G12" s="464"/>
      <c r="H12" s="464"/>
      <c r="I12" s="464"/>
      <c r="J12" s="464"/>
      <c r="K12" s="464"/>
      <c r="L12" s="464"/>
      <c r="M12" s="465"/>
      <c r="N12" s="19"/>
      <c r="O12" s="3"/>
      <c r="P12" s="3"/>
    </row>
    <row r="13" spans="2:16" x14ac:dyDescent="0.25">
      <c r="B13" s="23" t="str">
        <f>CONCATENATE('Cost Assumptions'!E7," ", 'Cost Assumptions'!B7)</f>
        <v>Timber Pasture</v>
      </c>
      <c r="C13" s="19" t="s">
        <v>72</v>
      </c>
      <c r="D13" s="211">
        <v>60</v>
      </c>
      <c r="E13" s="211">
        <v>7</v>
      </c>
      <c r="F13" s="211">
        <v>33</v>
      </c>
      <c r="G13" s="211">
        <v>7</v>
      </c>
      <c r="H13" s="211">
        <v>0</v>
      </c>
      <c r="I13" s="211"/>
      <c r="J13" s="211">
        <v>30</v>
      </c>
      <c r="K13" s="1"/>
      <c r="L13" s="9"/>
      <c r="M13" s="211">
        <v>0</v>
      </c>
      <c r="N13" s="2"/>
      <c r="O13" s="37" t="s">
        <v>309</v>
      </c>
      <c r="P13" s="38">
        <f>(M13+M14)+M32</f>
        <v>35</v>
      </c>
    </row>
    <row r="14" spans="2:16" x14ac:dyDescent="0.25">
      <c r="B14" s="23" t="str">
        <f>CONCATENATE('Cost Assumptions'!E8," ", 'Cost Assumptions'!B8)</f>
        <v>Fair Pasture</v>
      </c>
      <c r="C14" s="19" t="s">
        <v>72</v>
      </c>
      <c r="D14" s="210">
        <v>200</v>
      </c>
      <c r="E14" s="210">
        <v>7</v>
      </c>
      <c r="F14" s="210">
        <f>62-3</f>
        <v>59</v>
      </c>
      <c r="G14" s="210">
        <v>38</v>
      </c>
      <c r="H14" s="210"/>
      <c r="I14" s="210">
        <v>6</v>
      </c>
      <c r="J14" s="210">
        <v>78</v>
      </c>
      <c r="K14" s="1"/>
      <c r="L14" s="10"/>
      <c r="M14" s="210">
        <v>35</v>
      </c>
      <c r="N14" s="2"/>
      <c r="O14" s="3"/>
      <c r="P14" s="3"/>
    </row>
    <row r="15" spans="2:16" x14ac:dyDescent="0.25">
      <c r="B15" s="111" t="s">
        <v>192</v>
      </c>
      <c r="C15" s="19" t="s">
        <v>72</v>
      </c>
      <c r="D15" s="1">
        <f>SUM(D13:D14)</f>
        <v>260</v>
      </c>
      <c r="E15" s="1">
        <f t="shared" ref="E15:M15" si="0">SUM(E13:E14)</f>
        <v>14</v>
      </c>
      <c r="F15" s="1">
        <f t="shared" si="0"/>
        <v>92</v>
      </c>
      <c r="G15" s="1">
        <f t="shared" si="0"/>
        <v>45</v>
      </c>
      <c r="H15" s="1">
        <f t="shared" si="0"/>
        <v>0</v>
      </c>
      <c r="I15" s="1">
        <f t="shared" si="0"/>
        <v>6</v>
      </c>
      <c r="J15" s="1">
        <f t="shared" si="0"/>
        <v>108</v>
      </c>
      <c r="K15" s="1" t="s">
        <v>46</v>
      </c>
      <c r="L15" s="1" t="s">
        <v>46</v>
      </c>
      <c r="M15" s="1">
        <f t="shared" si="0"/>
        <v>35</v>
      </c>
      <c r="O15" s="37" t="s">
        <v>318</v>
      </c>
      <c r="P15" s="38">
        <f>SUM(E13:J14)</f>
        <v>265</v>
      </c>
    </row>
    <row r="16" spans="2:16" x14ac:dyDescent="0.25">
      <c r="B16" s="111"/>
      <c r="C16" s="19"/>
      <c r="F16" s="1"/>
      <c r="G16" s="1"/>
      <c r="H16" s="1"/>
      <c r="I16" s="1"/>
      <c r="J16" s="1"/>
      <c r="K16" s="1"/>
      <c r="L16" s="1"/>
      <c r="O16" s="3"/>
      <c r="P16" s="3"/>
    </row>
    <row r="17" spans="2:16" x14ac:dyDescent="0.25">
      <c r="C17" s="19"/>
      <c r="D17" s="466" t="s">
        <v>240</v>
      </c>
      <c r="E17" s="464"/>
      <c r="F17" s="464"/>
      <c r="G17" s="464"/>
      <c r="H17" s="464"/>
      <c r="I17" s="464"/>
      <c r="J17" s="464"/>
      <c r="K17" s="464"/>
      <c r="L17" s="464"/>
      <c r="M17" s="464"/>
      <c r="N17" s="19"/>
      <c r="O17" s="3"/>
      <c r="P17" s="3"/>
    </row>
    <row r="18" spans="2:16" x14ac:dyDescent="0.25">
      <c r="B18" s="116" t="s">
        <v>165</v>
      </c>
      <c r="C18" s="117" t="s">
        <v>69</v>
      </c>
      <c r="D18" s="1">
        <f t="shared" ref="D18:J18" si="1">D9-SUM(D13:D14)</f>
        <v>105</v>
      </c>
      <c r="E18" s="1">
        <f t="shared" si="1"/>
        <v>0</v>
      </c>
      <c r="F18" s="1">
        <f t="shared" si="1"/>
        <v>0</v>
      </c>
      <c r="G18" s="1">
        <f t="shared" si="1"/>
        <v>11</v>
      </c>
      <c r="H18" s="1">
        <f t="shared" si="1"/>
        <v>10</v>
      </c>
      <c r="I18" s="1">
        <f t="shared" si="1"/>
        <v>79</v>
      </c>
      <c r="J18" s="1">
        <f t="shared" si="1"/>
        <v>0</v>
      </c>
      <c r="K18" s="1"/>
      <c r="L18" s="9"/>
      <c r="M18" s="1">
        <f>M9-SUM(M13:M14)</f>
        <v>0</v>
      </c>
      <c r="N18" s="118"/>
      <c r="O18" s="37" t="s">
        <v>319</v>
      </c>
      <c r="P18" s="38">
        <f>P9-P15</f>
        <v>100</v>
      </c>
    </row>
    <row r="19" spans="2:16" x14ac:dyDescent="0.25">
      <c r="B19" s="23" t="str">
        <f>CONCATENATE('Cost Assumptions'!E9," ", 'Cost Assumptions'!B9)</f>
        <v>AlfalfaMix Hay</v>
      </c>
      <c r="C19" s="19" t="s">
        <v>61</v>
      </c>
      <c r="D19" s="210"/>
      <c r="E19" s="210"/>
      <c r="F19" s="210"/>
      <c r="G19" s="210" t="s">
        <v>46</v>
      </c>
      <c r="H19" s="212"/>
      <c r="I19" s="210"/>
      <c r="J19" s="210"/>
      <c r="K19" s="1"/>
      <c r="L19" s="113"/>
      <c r="M19" s="214">
        <v>0</v>
      </c>
      <c r="N19" s="2"/>
      <c r="O19" s="37" t="s">
        <v>310</v>
      </c>
      <c r="P19" s="38">
        <f>M18</f>
        <v>0</v>
      </c>
    </row>
    <row r="20" spans="2:16" x14ac:dyDescent="0.25">
      <c r="B20" s="23" t="str">
        <f>CONCATENATE('Cost Assumptions'!E10," ", 'Cost Assumptions'!B10)</f>
        <v>Mixed  Hay</v>
      </c>
      <c r="C20" s="19" t="s">
        <v>61</v>
      </c>
      <c r="D20" s="210">
        <v>3</v>
      </c>
      <c r="E20" s="210"/>
      <c r="F20" s="211"/>
      <c r="G20" s="211">
        <v>1.9</v>
      </c>
      <c r="H20" s="211">
        <v>1.85</v>
      </c>
      <c r="I20" s="211">
        <v>1.85</v>
      </c>
      <c r="J20" s="210"/>
      <c r="K20" s="1"/>
      <c r="L20" s="113"/>
      <c r="M20" s="214"/>
      <c r="N20" s="2"/>
      <c r="O20" s="3"/>
      <c r="P20" s="3"/>
    </row>
    <row r="21" spans="2:16" x14ac:dyDescent="0.25">
      <c r="B21" s="23" t="str">
        <f>CONCATENATE('Cost Assumptions'!E11," ", 'Cost Assumptions'!B11)</f>
        <v>Fescue Hay</v>
      </c>
      <c r="C21" s="19" t="s">
        <v>61</v>
      </c>
      <c r="D21" s="213">
        <v>0</v>
      </c>
      <c r="E21" s="213"/>
      <c r="F21" s="213"/>
      <c r="G21" s="213">
        <v>1.9</v>
      </c>
      <c r="H21" s="213">
        <v>1.85</v>
      </c>
      <c r="I21" s="213">
        <v>1.85</v>
      </c>
      <c r="J21" s="213"/>
      <c r="K21" s="114"/>
      <c r="L21" s="115"/>
      <c r="M21" s="215"/>
      <c r="N21" s="2"/>
      <c r="O21" s="3"/>
      <c r="P21" s="3"/>
    </row>
    <row r="22" spans="2:16" x14ac:dyDescent="0.25">
      <c r="B22" s="111" t="s">
        <v>178</v>
      </c>
      <c r="C22" s="19" t="s">
        <v>61</v>
      </c>
      <c r="D22" s="135">
        <f>SUM(D19:D21)</f>
        <v>3</v>
      </c>
      <c r="E22" s="135">
        <f>SUM(E19:E21)</f>
        <v>0</v>
      </c>
      <c r="F22" s="135">
        <f t="shared" ref="F22:M22" si="2">SUM(F19:F21)</f>
        <v>0</v>
      </c>
      <c r="G22" s="135">
        <f t="shared" si="2"/>
        <v>3.8</v>
      </c>
      <c r="H22" s="135">
        <f t="shared" si="2"/>
        <v>3.7</v>
      </c>
      <c r="I22" s="135">
        <f t="shared" si="2"/>
        <v>3.7</v>
      </c>
      <c r="J22" s="135">
        <f t="shared" si="2"/>
        <v>0</v>
      </c>
      <c r="K22" s="134"/>
      <c r="L22" s="134" t="s">
        <v>46</v>
      </c>
      <c r="M22" s="135">
        <f t="shared" si="2"/>
        <v>0</v>
      </c>
      <c r="N22" s="134"/>
      <c r="O22" s="37" t="s">
        <v>320</v>
      </c>
      <c r="P22" s="154">
        <f>SUM(E32:J32)</f>
        <v>100</v>
      </c>
    </row>
    <row r="23" spans="2:16" x14ac:dyDescent="0.25">
      <c r="B23" s="111"/>
      <c r="C23" s="19"/>
      <c r="D23" s="134"/>
      <c r="E23" s="134"/>
      <c r="F23" s="134"/>
      <c r="G23" s="134"/>
      <c r="H23" s="134"/>
      <c r="I23" s="134"/>
      <c r="J23" s="134"/>
      <c r="K23" s="134"/>
      <c r="L23" s="134"/>
      <c r="M23" s="134"/>
      <c r="N23" s="134"/>
      <c r="O23" s="40" t="s">
        <v>311</v>
      </c>
      <c r="P23" s="157">
        <f>IF(SUM(M19:M21)&gt;0,M18,0)</f>
        <v>0</v>
      </c>
    </row>
    <row r="24" spans="2:16" x14ac:dyDescent="0.25">
      <c r="C24" s="19"/>
      <c r="D24" s="466" t="s">
        <v>230</v>
      </c>
      <c r="E24" s="464"/>
      <c r="F24" s="464"/>
      <c r="G24" s="464"/>
      <c r="H24" s="464"/>
      <c r="I24" s="464"/>
      <c r="J24" s="464"/>
      <c r="K24" s="464"/>
      <c r="L24" s="464"/>
      <c r="M24" s="464"/>
      <c r="N24" s="19"/>
    </row>
    <row r="25" spans="2:16" x14ac:dyDescent="0.25">
      <c r="B25" s="23" t="s">
        <v>196</v>
      </c>
      <c r="C25" s="19" t="s">
        <v>61</v>
      </c>
      <c r="D25" s="123"/>
      <c r="E25" s="124"/>
      <c r="F25" s="124"/>
      <c r="G25" s="124"/>
      <c r="H25" s="124"/>
      <c r="I25" s="124"/>
      <c r="J25" s="125"/>
      <c r="K25" s="1"/>
      <c r="L25" s="211">
        <v>4.0000000000000002E-4</v>
      </c>
      <c r="M25" s="115"/>
      <c r="N25" s="2"/>
    </row>
    <row r="26" spans="2:16" x14ac:dyDescent="0.25">
      <c r="B26" s="23" t="str">
        <f>CONCATENATE('Cost Assumptions'!E13," ",'Cost Assumptions'!B13)</f>
        <v xml:space="preserve"> Corn equiv.</v>
      </c>
      <c r="C26" s="19" t="s">
        <v>61</v>
      </c>
      <c r="D26" s="211"/>
      <c r="E26" s="211">
        <v>0.4</v>
      </c>
      <c r="F26" s="211"/>
      <c r="G26" s="211"/>
      <c r="H26" s="211">
        <v>0.4</v>
      </c>
      <c r="I26" s="211">
        <v>0.4</v>
      </c>
      <c r="J26" s="211"/>
      <c r="K26" s="1"/>
      <c r="L26" s="211"/>
      <c r="M26" s="211"/>
      <c r="N26" s="2"/>
    </row>
    <row r="27" spans="2:16" x14ac:dyDescent="0.25">
      <c r="B27" s="23" t="str">
        <f>CONCATENATE('Cost Assumptions'!E14," ",'Cost Assumptions'!B14)</f>
        <v xml:space="preserve"> Protein supplement (soyhulls, corn gluten &amp; corn)</v>
      </c>
      <c r="C27" s="19" t="s">
        <v>61</v>
      </c>
      <c r="D27" s="210"/>
      <c r="E27" s="210">
        <v>0.1</v>
      </c>
      <c r="F27" s="210"/>
      <c r="G27" s="210"/>
      <c r="H27" s="210">
        <v>0.1</v>
      </c>
      <c r="I27" s="210">
        <v>0.1</v>
      </c>
      <c r="J27" s="210"/>
      <c r="K27" s="1"/>
      <c r="L27" s="210"/>
      <c r="M27" s="210"/>
      <c r="N27" s="2"/>
    </row>
    <row r="28" spans="2:16" x14ac:dyDescent="0.25">
      <c r="B28" s="23" t="str">
        <f>CONCATENATE('Cost Assumptions'!E15," ",'Cost Assumptions'!B15)</f>
        <v>Pellet, Commercial mix</v>
      </c>
      <c r="C28" s="19" t="s">
        <v>61</v>
      </c>
      <c r="D28" s="213"/>
      <c r="E28" s="213"/>
      <c r="F28" s="213"/>
      <c r="G28" s="213"/>
      <c r="H28" s="213"/>
      <c r="I28" s="213"/>
      <c r="J28" s="213"/>
      <c r="K28" s="104"/>
      <c r="L28" s="213">
        <v>1.4999999999999999E-2</v>
      </c>
      <c r="M28" s="213">
        <v>0.02</v>
      </c>
      <c r="N28" s="2"/>
    </row>
    <row r="29" spans="2:16" x14ac:dyDescent="0.25">
      <c r="B29" s="110" t="s">
        <v>179</v>
      </c>
      <c r="C29" s="19" t="s">
        <v>61</v>
      </c>
      <c r="D29" s="135">
        <f>SUM(D26:D28)</f>
        <v>0</v>
      </c>
      <c r="E29" s="135">
        <f t="shared" ref="E29:J29" si="3">SUM(E26:E28)</f>
        <v>0.5</v>
      </c>
      <c r="F29" s="135">
        <f t="shared" si="3"/>
        <v>0</v>
      </c>
      <c r="G29" s="135">
        <f t="shared" si="3"/>
        <v>0</v>
      </c>
      <c r="H29" s="135">
        <f t="shared" si="3"/>
        <v>0.5</v>
      </c>
      <c r="I29" s="135">
        <f t="shared" si="3"/>
        <v>0.5</v>
      </c>
      <c r="J29" s="135">
        <f t="shared" si="3"/>
        <v>0</v>
      </c>
      <c r="K29" s="134"/>
      <c r="L29" s="136">
        <f>SUM(L25:L28)</f>
        <v>1.5399999999999999E-2</v>
      </c>
      <c r="M29" s="135">
        <f>SUM(M26:M28)</f>
        <v>0.02</v>
      </c>
      <c r="N29" s="134"/>
    </row>
    <row r="30" spans="2:16" x14ac:dyDescent="0.25">
      <c r="F30" s="1"/>
      <c r="G30" s="1"/>
      <c r="H30" s="1"/>
      <c r="I30" s="1"/>
      <c r="J30" s="1"/>
      <c r="K30" s="1"/>
      <c r="L30" s="1"/>
    </row>
    <row r="31" spans="2:16" x14ac:dyDescent="0.25">
      <c r="B31" s="25" t="str">
        <f>CONCATENATE('Cost Assumptions'!E16," ", 'Cost Assumptions'!B16)</f>
        <v xml:space="preserve"> Salt-trace mineral mix</v>
      </c>
      <c r="C31" s="108" t="s">
        <v>61</v>
      </c>
      <c r="D31" s="210">
        <v>0.02</v>
      </c>
      <c r="E31" s="210">
        <v>0.02</v>
      </c>
      <c r="F31" s="210">
        <v>0.02</v>
      </c>
      <c r="G31" s="210">
        <v>2.5000000000000001E-2</v>
      </c>
      <c r="H31" s="210">
        <v>0.02</v>
      </c>
      <c r="I31" s="210">
        <v>2.5000000000000001E-2</v>
      </c>
      <c r="J31" s="210">
        <v>0.02</v>
      </c>
      <c r="K31" s="109"/>
      <c r="L31" s="210">
        <v>0.01</v>
      </c>
      <c r="M31" s="210">
        <v>0.01</v>
      </c>
      <c r="N31" s="2"/>
    </row>
    <row r="32" spans="2:16" hidden="1" x14ac:dyDescent="0.25">
      <c r="B32" s="26" t="s">
        <v>79</v>
      </c>
      <c r="C32" s="27"/>
      <c r="D32" s="27"/>
      <c r="E32" s="28">
        <f>IF(SUM(E19:E21)&gt;0,E18,0)</f>
        <v>0</v>
      </c>
      <c r="F32" s="28">
        <f t="shared" ref="F32:M32" si="4">IF(SUM(F19:F21)&gt;0,F18,0)</f>
        <v>0</v>
      </c>
      <c r="G32" s="28">
        <f>IF(SUM(G19:G21)&gt;0,G18,0)</f>
        <v>11</v>
      </c>
      <c r="H32" s="28">
        <f t="shared" si="4"/>
        <v>10</v>
      </c>
      <c r="I32" s="28">
        <f t="shared" si="4"/>
        <v>79</v>
      </c>
      <c r="J32" s="28">
        <f t="shared" si="4"/>
        <v>0</v>
      </c>
      <c r="K32" s="28">
        <f t="shared" si="4"/>
        <v>0</v>
      </c>
      <c r="L32" s="28">
        <f t="shared" si="4"/>
        <v>0</v>
      </c>
      <c r="M32" s="28">
        <f t="shared" si="4"/>
        <v>0</v>
      </c>
      <c r="N32" s="107"/>
    </row>
    <row r="33" spans="2:15" x14ac:dyDescent="0.25">
      <c r="B33" s="105"/>
      <c r="C33" s="106"/>
      <c r="D33" s="106"/>
      <c r="E33" s="107"/>
      <c r="F33" s="107"/>
      <c r="G33" s="107"/>
      <c r="H33" s="107"/>
      <c r="I33" s="107"/>
      <c r="J33" s="107"/>
      <c r="K33" s="107"/>
      <c r="L33" s="107"/>
      <c r="M33" s="107"/>
      <c r="N33" s="107"/>
    </row>
    <row r="34" spans="2:15" x14ac:dyDescent="0.25">
      <c r="B34" s="29"/>
      <c r="C34" s="29"/>
      <c r="D34" s="29"/>
      <c r="E34" s="29"/>
      <c r="F34" s="29"/>
      <c r="G34" s="29"/>
      <c r="H34" s="29"/>
      <c r="I34" s="29"/>
      <c r="J34" s="29"/>
      <c r="K34" s="29"/>
      <c r="L34" s="29"/>
      <c r="M34" s="29"/>
      <c r="N34" s="29"/>
      <c r="O34" s="29"/>
    </row>
    <row r="35" spans="2:15" x14ac:dyDescent="0.25">
      <c r="B35" s="339" t="s">
        <v>269</v>
      </c>
      <c r="C35" s="340" t="s">
        <v>175</v>
      </c>
      <c r="D35" s="340" t="s">
        <v>84</v>
      </c>
      <c r="E35" s="340" t="s">
        <v>312</v>
      </c>
      <c r="F35" s="340" t="s">
        <v>83</v>
      </c>
    </row>
    <row r="36" spans="2:15" x14ac:dyDescent="0.25">
      <c r="B36" s="336"/>
      <c r="C36" s="337" t="s">
        <v>241</v>
      </c>
      <c r="D36" s="337" t="s">
        <v>119</v>
      </c>
      <c r="E36" s="337" t="s">
        <v>119</v>
      </c>
      <c r="F36" s="337" t="s">
        <v>321</v>
      </c>
    </row>
    <row r="37" spans="2:15" x14ac:dyDescent="0.25">
      <c r="B37" s="1" t="str">
        <f>B13</f>
        <v>Timber Pasture</v>
      </c>
      <c r="C37" s="33">
        <f>SUM(D13:M13)/SUM(D13:M14)</f>
        <v>0.24464285714285713</v>
      </c>
      <c r="D37" s="34">
        <f>'Flock Assumptions'!J33*C37</f>
        <v>4.8341428571428562</v>
      </c>
      <c r="E37" s="34">
        <f>'Flock Assumptions'!J34*'Feed Assumptions'!C37</f>
        <v>4.2482232142857139</v>
      </c>
      <c r="F37" s="33">
        <f>(SUM(D37:E37)*'Cost Assumptions'!$D$7)/'Flock Assumptions'!$D$8</f>
        <v>4.5411830357142851</v>
      </c>
    </row>
    <row r="38" spans="2:15" x14ac:dyDescent="0.25">
      <c r="B38" s="24" t="str">
        <f>B14</f>
        <v>Fair Pasture</v>
      </c>
      <c r="C38" s="35">
        <f>SUM(D14:M14)/SUM(D13:M14)</f>
        <v>0.75535714285714284</v>
      </c>
      <c r="D38" s="36">
        <f>'Flock Assumptions'!J33*C38</f>
        <v>14.925857142857142</v>
      </c>
      <c r="E38" s="36">
        <f>'Flock Assumptions'!J34*'Feed Assumptions'!C38</f>
        <v>13.116776785714285</v>
      </c>
      <c r="F38" s="35">
        <f>(SUM(D38:E38)*'Cost Assumptions'!$D$7)/'Flock Assumptions'!D8</f>
        <v>14.021316964285713</v>
      </c>
    </row>
    <row r="39" spans="2:15" x14ac:dyDescent="0.25">
      <c r="B39" s="25" t="s">
        <v>33</v>
      </c>
      <c r="C39" s="25"/>
      <c r="D39" s="330">
        <f>SUM(D37:D38)</f>
        <v>19.759999999999998</v>
      </c>
      <c r="E39" s="330">
        <f>SUM(E37:E38)</f>
        <v>17.364999999999998</v>
      </c>
      <c r="F39" s="158">
        <f>SUM(F37:F38)</f>
        <v>18.5625</v>
      </c>
    </row>
    <row r="41" spans="2:15" x14ac:dyDescent="0.25">
      <c r="F41" s="1"/>
      <c r="G41" s="1"/>
      <c r="H41" s="1"/>
    </row>
    <row r="42" spans="2:15" x14ac:dyDescent="0.25">
      <c r="B42" s="339" t="s">
        <v>270</v>
      </c>
      <c r="C42" s="339"/>
      <c r="D42" s="340" t="s">
        <v>198</v>
      </c>
      <c r="E42" s="340" t="s">
        <v>199</v>
      </c>
      <c r="F42" s="340" t="s">
        <v>199</v>
      </c>
      <c r="G42" s="340" t="s">
        <v>16</v>
      </c>
      <c r="H42" s="340" t="s">
        <v>16</v>
      </c>
      <c r="I42" s="1"/>
    </row>
    <row r="43" spans="2:15" x14ac:dyDescent="0.25">
      <c r="B43" s="350"/>
      <c r="C43" s="351" t="s">
        <v>175</v>
      </c>
      <c r="D43" s="351" t="s">
        <v>182</v>
      </c>
      <c r="E43" s="351" t="s">
        <v>313</v>
      </c>
      <c r="F43" s="351" t="s">
        <v>26</v>
      </c>
      <c r="G43" s="351" t="s">
        <v>26</v>
      </c>
      <c r="H43" s="351" t="s">
        <v>70</v>
      </c>
      <c r="I43" s="1"/>
    </row>
    <row r="44" spans="2:15" x14ac:dyDescent="0.25">
      <c r="B44" s="336"/>
      <c r="C44" s="337" t="s">
        <v>217</v>
      </c>
      <c r="D44" s="337" t="s">
        <v>177</v>
      </c>
      <c r="E44" s="337" t="s">
        <v>177</v>
      </c>
      <c r="F44" s="337" t="s">
        <v>71</v>
      </c>
      <c r="G44" s="337" t="s">
        <v>185</v>
      </c>
      <c r="H44" s="337" t="s">
        <v>287</v>
      </c>
      <c r="I44" s="1"/>
    </row>
    <row r="45" spans="2:15" x14ac:dyDescent="0.25">
      <c r="B45" s="22" t="str">
        <f>B19</f>
        <v>AlfalfaMix Hay</v>
      </c>
      <c r="C45" s="126">
        <f>F45/$F$48</f>
        <v>0</v>
      </c>
      <c r="D45" s="127">
        <f>(((D18*D19*$D$10)+(SUMPRODUCT($E$18:$J$18,E19:J19)*$I$10))/($D$10+$I$10))*(1+'Cost Assumptions'!F9)</f>
        <v>0</v>
      </c>
      <c r="E45" s="127">
        <f>((($L18*$L19)/$L$10)+($M18*$M19)/$M$10)*(1+'Cost Assumptions'!$F9)</f>
        <v>0</v>
      </c>
      <c r="F45" s="90">
        <f>((D18*D19*$D$10)+((SUMPRODUCT($E$18:$J$18,E19:J19)*$I$10))+(M18*M19*$M$10))*(1+'Cost Assumptions'!F9)</f>
        <v>0</v>
      </c>
      <c r="G45" s="128">
        <f>(F45/2000)*'Cost Assumptions'!D9</f>
        <v>0</v>
      </c>
      <c r="H45" s="128">
        <f>G45/'Flock Assumptions'!$D$8</f>
        <v>0</v>
      </c>
      <c r="I45" s="1"/>
      <c r="J45" s="3"/>
      <c r="K45" s="3"/>
      <c r="L45" s="3"/>
      <c r="M45" s="3"/>
      <c r="N45" s="3"/>
      <c r="O45" s="3"/>
    </row>
    <row r="46" spans="2:15" x14ac:dyDescent="0.25">
      <c r="B46" s="22" t="str">
        <f>B20</f>
        <v>Mixed  Hay</v>
      </c>
      <c r="C46" s="126">
        <f>F46/$F$48</f>
        <v>0.50981540762283473</v>
      </c>
      <c r="D46" s="127">
        <f>(((D18*D20*$D$10)+(SUMPRODUCT($E$18:$J$18,E20:J20)*$I$10))/($D$10+$I$10))*(1+'Cost Assumptions'!F10)</f>
        <v>213.39230769230772</v>
      </c>
      <c r="E46" s="127">
        <f>((($L19*$L20)/$L$10)+($M19*$M20)/$M$10)*(1+'Cost Assumptions'!$F10)</f>
        <v>0</v>
      </c>
      <c r="F46" s="90">
        <f>((D18*D20*$D$10)+((SUMPRODUCT($E$18:$J$18,E20:J20)*$I$10))+(M18*M20*$M$10))*(1+'Cost Assumptions'!F10)</f>
        <v>11096.400000000001</v>
      </c>
      <c r="G46" s="369">
        <f>(F46/2000)*'Cost Assumptions'!D10</f>
        <v>915.45300000000009</v>
      </c>
      <c r="H46" s="128">
        <f>G46/'Flock Assumptions'!$D$8</f>
        <v>18.309060000000002</v>
      </c>
      <c r="I46" s="1"/>
    </row>
    <row r="47" spans="2:15" x14ac:dyDescent="0.25">
      <c r="B47" s="129" t="str">
        <f>B21</f>
        <v>Fescue Hay</v>
      </c>
      <c r="C47" s="130">
        <f>F47/$F$48</f>
        <v>0.49018459237716522</v>
      </c>
      <c r="D47" s="131">
        <f>(((D18*D21*$D$10)+(SUMPRODUCT($E$18:$J$18,E21:J21)*$I$10))/($D$10+$I$10))*(1+'Cost Assumptions'!F11)</f>
        <v>205.17548076923077</v>
      </c>
      <c r="E47" s="131">
        <f>((($L20*$L21)/$L$10)+($M20*$M21)/$M$10)*(1+'Cost Assumptions'!$F11)</f>
        <v>0</v>
      </c>
      <c r="F47" s="137">
        <f>((D18*D21*$D$10)+((SUMPRODUCT($E$18:$J$18,E21:J21)*$I$10))+(M18*M21*$M$10))*(1+'Cost Assumptions'!F11)</f>
        <v>10669.125</v>
      </c>
      <c r="G47" s="132">
        <f>(F47/2000)*'Cost Assumptions'!D11</f>
        <v>826.8571874999999</v>
      </c>
      <c r="H47" s="132">
        <f>G47/'Flock Assumptions'!$D$8</f>
        <v>16.537143749999998</v>
      </c>
      <c r="I47" s="1"/>
    </row>
    <row r="48" spans="2:15" x14ac:dyDescent="0.25">
      <c r="B48" s="133" t="s">
        <v>323</v>
      </c>
      <c r="C48" s="127">
        <f t="shared" ref="C48:H48" si="5">SUM(C45:C47)</f>
        <v>1</v>
      </c>
      <c r="D48" s="127">
        <f t="shared" si="5"/>
        <v>418.5677884615385</v>
      </c>
      <c r="E48" s="127">
        <f t="shared" si="5"/>
        <v>0</v>
      </c>
      <c r="F48" s="90">
        <f t="shared" si="5"/>
        <v>21765.525000000001</v>
      </c>
      <c r="G48" s="370">
        <f t="shared" si="5"/>
        <v>1742.3101875</v>
      </c>
      <c r="H48" s="95">
        <f t="shared" si="5"/>
        <v>34.846203750000001</v>
      </c>
      <c r="I48" s="1"/>
    </row>
    <row r="49" spans="2:9" x14ac:dyDescent="0.25">
      <c r="E49" s="2"/>
      <c r="F49" s="1"/>
      <c r="I49" s="1"/>
    </row>
    <row r="50" spans="2:9" x14ac:dyDescent="0.25">
      <c r="B50" s="1" t="str">
        <f>B25</f>
        <v>Milk replacer</v>
      </c>
      <c r="C50" s="33">
        <f>F50/F54</f>
        <v>1.6736892474048879E-4</v>
      </c>
      <c r="D50" s="112">
        <v>0</v>
      </c>
      <c r="E50" s="134">
        <f>F50/L10</f>
        <v>6.3000000000000009E-3</v>
      </c>
      <c r="F50" s="138">
        <f>(L25*L9*L10)*(1+'Cost Assumptions'!F12)</f>
        <v>0.49140000000000006</v>
      </c>
      <c r="G50" s="134">
        <f>F50*('Cost Assumptions'!D12/100)</f>
        <v>1.4742000000000002</v>
      </c>
      <c r="H50" s="134">
        <f>G50/'Flock Assumptions'!$D$8</f>
        <v>2.9484000000000003E-2</v>
      </c>
      <c r="I50" s="1"/>
    </row>
    <row r="51" spans="2:9" x14ac:dyDescent="0.25">
      <c r="B51" s="1" t="str">
        <f>B26</f>
        <v xml:space="preserve"> Corn equiv.</v>
      </c>
      <c r="C51" s="126">
        <f>F51/$F$54</f>
        <v>0.77962447849202032</v>
      </c>
      <c r="D51" s="127">
        <f>(((D$9*$D26*$D$10)+(SUMPRODUCT($E$9:$J$9,$E26:$J26)*$I$10))/($D$10+$I$10))*(1+'Cost Assumptions'!F13)</f>
        <v>44.019230769230766</v>
      </c>
      <c r="E51" s="134">
        <f>((($L9*$L26*$L10)/$L$10)+($M9*$M26*$M10)/$M$10)*(1+'Cost Assumptions'!$F13)</f>
        <v>0</v>
      </c>
      <c r="F51" s="90">
        <f>((D26*$D$10*$D$9)+(SUMPRODUCT($E$9:$J$9,E26:J26)*$I$10)+($L$10*$L$9*L26)+($M$10*$M$9*M26))*(1+'Cost Assumptions'!F13)</f>
        <v>2289</v>
      </c>
      <c r="G51" s="128">
        <f>(F51/100)*'Cost Assumptions'!D13</f>
        <v>204.1788</v>
      </c>
      <c r="H51" s="134">
        <f>G51/'Flock Assumptions'!$D$8</f>
        <v>4.0835759999999999</v>
      </c>
      <c r="I51" s="1"/>
    </row>
    <row r="52" spans="2:9" x14ac:dyDescent="0.25">
      <c r="B52" s="22" t="str">
        <f>B27</f>
        <v xml:space="preserve"> Protein supplement (soyhulls, corn gluten &amp; corn)</v>
      </c>
      <c r="C52" s="126">
        <f>F52/$F$54</f>
        <v>0.19490611962300508</v>
      </c>
      <c r="D52" s="127">
        <f>(((D$9*$D27*$D$10)+(SUMPRODUCT($E$9:$J$9,$E27:$J27)*$I$10))/($D$10+$I$10))*(1+'Cost Assumptions'!F14)</f>
        <v>11.004807692307692</v>
      </c>
      <c r="E52" s="128">
        <f>((($L9*$L27*$L10)/$L$10)+($M9*$M27*$M10)/$M$10)*(1+'Cost Assumptions'!$F14)</f>
        <v>0</v>
      </c>
      <c r="F52" s="90">
        <f>((D27*$D$10*$D$9)+(SUMPRODUCT($E$9:$J$9,E27:J27)*$I$10)+($L$10*$L$9*L27)+($M$10*$M$9*M27))*(1+'Cost Assumptions'!F14)</f>
        <v>572.25</v>
      </c>
      <c r="G52" s="128">
        <f>(F52/100)*'Cost Assumptions'!D14</f>
        <v>78.684375000000003</v>
      </c>
      <c r="H52" s="134">
        <f>G52/'Flock Assumptions'!$D$8</f>
        <v>1.5736875000000001</v>
      </c>
      <c r="I52" s="1"/>
    </row>
    <row r="53" spans="2:9" x14ac:dyDescent="0.25">
      <c r="B53" s="129" t="str">
        <f>B28</f>
        <v>Pellet, Commercial mix</v>
      </c>
      <c r="C53" s="130">
        <f>F53/$F$54</f>
        <v>2.5302032960234151E-2</v>
      </c>
      <c r="D53" s="131">
        <f>(((D$9*$D28*$D$10)+(SUMPRODUCT($E$9:$J$9,$E28:$J28)*$I$10))/($D$10+$I$10))*(1+'Cost Assumptions'!F15)</f>
        <v>0</v>
      </c>
      <c r="E53" s="132">
        <f>((($L9*$L28*$L10)/$L$10)+($M9*$M28*$M10)/$M$10)*(1+'Cost Assumptions'!$F15)</f>
        <v>0.97125000000000006</v>
      </c>
      <c r="F53" s="137">
        <f>(((D28*$D$10*$D$9)+((SUMPRODUCT($E$9:$J$9,E28:J28)*$I$10))+($L$10*$L$9*L28)+($M$10*$M$9*M28))*(1+'Cost Assumptions'!F15))</f>
        <v>74.287500000000009</v>
      </c>
      <c r="G53" s="132">
        <f>(F53/100)*'Cost Assumptions'!D15</f>
        <v>29.715000000000003</v>
      </c>
      <c r="H53" s="132">
        <f>G53/'Flock Assumptions'!$D$8</f>
        <v>0.59430000000000005</v>
      </c>
      <c r="I53" s="1"/>
    </row>
    <row r="54" spans="2:9" x14ac:dyDescent="0.25">
      <c r="B54" s="133" t="s">
        <v>179</v>
      </c>
      <c r="C54" s="127">
        <f t="shared" ref="C54:H54" si="6">SUM(C50:C53)</f>
        <v>1</v>
      </c>
      <c r="D54" s="127">
        <f t="shared" si="6"/>
        <v>55.02403846153846</v>
      </c>
      <c r="E54" s="127">
        <f t="shared" si="6"/>
        <v>0.97755000000000003</v>
      </c>
      <c r="F54" s="127">
        <f t="shared" si="6"/>
        <v>2936.0288999999998</v>
      </c>
      <c r="G54" s="127">
        <f t="shared" si="6"/>
        <v>314.05237499999998</v>
      </c>
      <c r="H54" s="139">
        <f t="shared" si="6"/>
        <v>6.2810474999999997</v>
      </c>
      <c r="I54" s="1"/>
    </row>
    <row r="55" spans="2:9" x14ac:dyDescent="0.25">
      <c r="B55" s="121"/>
      <c r="C55" s="119"/>
      <c r="D55" s="120"/>
      <c r="E55" s="120"/>
      <c r="F55" s="120"/>
      <c r="G55" s="120"/>
      <c r="H55" s="120"/>
      <c r="I55" s="1"/>
    </row>
    <row r="56" spans="2:9" x14ac:dyDescent="0.25">
      <c r="B56" s="22" t="str">
        <f>B31</f>
        <v xml:space="preserve"> Salt-trace mineral mix</v>
      </c>
      <c r="C56" s="140">
        <v>1</v>
      </c>
      <c r="D56" s="127">
        <f>(((D$9*$D31*$D$10)+(SUMPRODUCT($E$9:$J$9,$E31:$J31)*$I$10))/($D$10+$I$10))*(1+'Cost Assumptions'!F18)</f>
        <v>7.9778846153846166</v>
      </c>
      <c r="E56" s="141">
        <f>((($L9*$L31*$L10)/$L$10)+($M9*$M31*$M9)/$M$10)*(1+'Cost Assumptions'!$F16)</f>
        <v>0.32674342105263166</v>
      </c>
      <c r="F56" s="90">
        <f>(D9*D31*D10)+(SUMPRODUCT($E$9:$J$9,E31:J31)*I10)+(M9*M31*M10)*(1+'Cost Assumptions'!F16)</f>
        <v>442.78000000000009</v>
      </c>
      <c r="G56" s="142">
        <f>(F56/100)*'Cost Assumptions'!D16</f>
        <v>221.39000000000007</v>
      </c>
      <c r="H56" s="143">
        <f>G56/'Flock Assumptions'!$D$8</f>
        <v>4.4278000000000013</v>
      </c>
      <c r="I56" s="1"/>
    </row>
    <row r="57" spans="2:9" x14ac:dyDescent="0.25">
      <c r="B57" s="159" t="s">
        <v>201</v>
      </c>
      <c r="C57" s="64"/>
      <c r="D57" s="144">
        <f>D48+D54+D56</f>
        <v>481.56971153846155</v>
      </c>
      <c r="E57" s="144">
        <f>E48+E54+E56</f>
        <v>1.3042934210526318</v>
      </c>
      <c r="F57" s="144">
        <f>F48+F54+F56</f>
        <v>25144.333900000001</v>
      </c>
      <c r="G57" s="144">
        <f>G48+G54+G56</f>
        <v>2277.7525624999998</v>
      </c>
      <c r="H57" s="145">
        <f>H48+H54+H56</f>
        <v>45.555051250000005</v>
      </c>
      <c r="I57" s="1"/>
    </row>
    <row r="58" spans="2:9" ht="15.75" customHeight="1" x14ac:dyDescent="0.25">
      <c r="F58" s="1"/>
      <c r="G58" s="1"/>
      <c r="H58" s="1"/>
      <c r="I58" s="1"/>
    </row>
    <row r="59" spans="2:9" x14ac:dyDescent="0.25">
      <c r="B59" s="333" t="s">
        <v>271</v>
      </c>
      <c r="C59" s="333"/>
      <c r="D59" s="333"/>
      <c r="E59" s="338" t="s">
        <v>190</v>
      </c>
      <c r="F59" s="338" t="s">
        <v>200</v>
      </c>
      <c r="G59" s="338" t="s">
        <v>191</v>
      </c>
    </row>
    <row r="60" spans="2:9" x14ac:dyDescent="0.25">
      <c r="B60" s="1" t="s">
        <v>188</v>
      </c>
      <c r="E60" s="76">
        <f>(C45*'Cost Assumptions'!D9)+(C46*'Cost Assumptions'!D10)+('Feed Assumptions'!C47*'Cost Assumptions'!D11)</f>
        <v>160.09815407622835</v>
      </c>
      <c r="F60" s="76">
        <f>E60/20</f>
        <v>8.0049077038114174</v>
      </c>
      <c r="G60" s="146">
        <f>E60/2000</f>
        <v>8.0049077038114175E-2</v>
      </c>
    </row>
    <row r="61" spans="2:9" x14ac:dyDescent="0.25">
      <c r="B61" s="13" t="s">
        <v>189</v>
      </c>
      <c r="C61" s="13"/>
      <c r="D61" s="13"/>
      <c r="E61" s="80"/>
      <c r="F61" s="80">
        <f>(C50*'Cost Assumptions'!D12)+(C51*'Cost Assumptions'!D13)+(C52*'Cost Assumptions'!D14)+(C53*'Cost Assumptions'!D15)</f>
        <v>10.696501488796654</v>
      </c>
      <c r="G61" s="160">
        <f>F61/100</f>
        <v>0.10696501488796654</v>
      </c>
    </row>
    <row r="62" spans="2:9" x14ac:dyDescent="0.25">
      <c r="F62" s="1"/>
      <c r="G62" s="1"/>
    </row>
    <row r="63" spans="2:9" x14ac:dyDescent="0.25">
      <c r="B63" s="11" t="s">
        <v>314</v>
      </c>
      <c r="C63" s="11"/>
      <c r="D63" s="6"/>
      <c r="E63" s="6"/>
      <c r="F63" s="6"/>
      <c r="G63" s="42">
        <f>(SUM(E13:J14)*J10)+(SUM(M13:M14)*M10*0.5)+(SUM(D13:D14)*D10*1.15)</f>
        <v>15178</v>
      </c>
    </row>
    <row r="64" spans="2:9" x14ac:dyDescent="0.25">
      <c r="B64" s="4" t="s">
        <v>315</v>
      </c>
      <c r="C64" s="4"/>
      <c r="D64" s="5"/>
      <c r="E64" s="5"/>
      <c r="F64" s="5"/>
      <c r="G64" s="43">
        <f>(F39*'Flock Assumptions'!D8)/G63</f>
        <v>6.1149360917116882E-2</v>
      </c>
    </row>
  </sheetData>
  <sheetProtection sheet="1" objects="1" scenarios="1"/>
  <mergeCells count="4">
    <mergeCell ref="D5:M5"/>
    <mergeCell ref="D12:M12"/>
    <mergeCell ref="D17:M17"/>
    <mergeCell ref="D24:M24"/>
  </mergeCells>
  <conditionalFormatting sqref="P9">
    <cfRule type="cellIs" dxfId="5" priority="9" operator="lessThan">
      <formula>365</formula>
    </cfRule>
    <cfRule type="cellIs" dxfId="4" priority="10" operator="greaterThan">
      <formula>365</formula>
    </cfRule>
  </conditionalFormatting>
  <conditionalFormatting sqref="P22">
    <cfRule type="cellIs" dxfId="3" priority="3" operator="lessThan">
      <formula>$P$18</formula>
    </cfRule>
    <cfRule type="cellIs" dxfId="2" priority="4" operator="greaterThan">
      <formula>$P$18</formula>
    </cfRule>
  </conditionalFormatting>
  <conditionalFormatting sqref="P23">
    <cfRule type="cellIs" dxfId="1" priority="11" operator="lessThan">
      <formula>$P$19</formula>
    </cfRule>
    <cfRule type="cellIs" dxfId="0" priority="12" operator="greaterThan">
      <formula>$P$19</formula>
    </cfRule>
  </conditionalFormatting>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2:T42"/>
  <sheetViews>
    <sheetView showGridLines="0" zoomScaleNormal="100" workbookViewId="0"/>
  </sheetViews>
  <sheetFormatPr defaultColWidth="9.140625" defaultRowHeight="15" x14ac:dyDescent="0.25"/>
  <cols>
    <col min="1" max="1" width="5.7109375" style="1" customWidth="1"/>
    <col min="2" max="2" width="23.42578125" style="1" customWidth="1"/>
    <col min="3" max="6" width="13.7109375" style="1" customWidth="1"/>
    <col min="7" max="7" width="10.85546875" style="1" customWidth="1"/>
    <col min="8" max="8" width="7.85546875" style="1" customWidth="1"/>
    <col min="9" max="9" width="21.85546875" style="1" customWidth="1"/>
    <col min="10" max="10" width="15.28515625" style="1" customWidth="1"/>
    <col min="11" max="11" width="12.7109375" style="1" customWidth="1"/>
    <col min="12" max="12" width="11.42578125" style="1" customWidth="1"/>
    <col min="13" max="13" width="10.7109375" style="1" customWidth="1"/>
    <col min="14" max="16384" width="9.140625" style="1"/>
  </cols>
  <sheetData>
    <row r="2" spans="2:11" x14ac:dyDescent="0.25">
      <c r="B2" s="14" t="s">
        <v>263</v>
      </c>
      <c r="C2" s="14"/>
      <c r="D2" s="14"/>
      <c r="E2" s="13"/>
      <c r="F2" s="13"/>
      <c r="G2" s="13"/>
    </row>
    <row r="4" spans="2:11" x14ac:dyDescent="0.25">
      <c r="B4" s="331" t="s">
        <v>264</v>
      </c>
      <c r="C4" s="333"/>
      <c r="D4" s="333"/>
      <c r="E4" s="333"/>
      <c r="F4" s="333"/>
      <c r="G4" s="333"/>
      <c r="I4" s="333" t="s">
        <v>326</v>
      </c>
      <c r="J4" s="333"/>
      <c r="K4" s="333"/>
    </row>
    <row r="5" spans="2:11" ht="16.5" customHeight="1" x14ac:dyDescent="0.25">
      <c r="B5" s="467" t="s">
        <v>128</v>
      </c>
      <c r="C5" s="467"/>
      <c r="D5" s="467"/>
      <c r="E5" s="467"/>
      <c r="F5" s="467"/>
      <c r="G5" s="92"/>
      <c r="I5" s="1" t="s">
        <v>327</v>
      </c>
      <c r="K5" s="33">
        <f>'Flock Assumptions'!I16</f>
        <v>33.6</v>
      </c>
    </row>
    <row r="6" spans="2:11" x14ac:dyDescent="0.25">
      <c r="B6" s="7"/>
      <c r="C6" s="7" t="s">
        <v>332</v>
      </c>
      <c r="D6" s="7" t="s">
        <v>84</v>
      </c>
      <c r="E6" s="7" t="s">
        <v>333</v>
      </c>
      <c r="F6" s="7" t="s">
        <v>312</v>
      </c>
      <c r="G6" s="7" t="s">
        <v>16</v>
      </c>
      <c r="I6" s="23" t="s">
        <v>117</v>
      </c>
      <c r="K6" s="33">
        <f>'Feed Assumptions'!F39</f>
        <v>18.5625</v>
      </c>
    </row>
    <row r="7" spans="2:11" x14ac:dyDescent="0.25">
      <c r="B7" s="49" t="s">
        <v>1</v>
      </c>
      <c r="C7" s="5" t="s">
        <v>82</v>
      </c>
      <c r="D7" s="5" t="s">
        <v>130</v>
      </c>
      <c r="E7" s="5" t="s">
        <v>82</v>
      </c>
      <c r="F7" s="5" t="s">
        <v>131</v>
      </c>
      <c r="G7" s="5" t="s">
        <v>324</v>
      </c>
      <c r="I7" s="23" t="s">
        <v>148</v>
      </c>
      <c r="K7" s="8">
        <f>'Feed Assumptions'!H57</f>
        <v>45.555051250000005</v>
      </c>
    </row>
    <row r="8" spans="2:11" x14ac:dyDescent="0.25">
      <c r="B8" s="147" t="s">
        <v>90</v>
      </c>
      <c r="C8" s="216">
        <v>1</v>
      </c>
      <c r="D8" s="381">
        <v>0.35</v>
      </c>
      <c r="E8" s="216">
        <v>2</v>
      </c>
      <c r="F8" s="216">
        <v>0.35</v>
      </c>
      <c r="G8" s="33">
        <f>((C8*D8*('Flock Assumptions'!$D$8+'Flock Assumptions'!$D$11))+(E8*F8*'Flock Assumptions'!$E$16))/100</f>
        <v>0.73499999999999999</v>
      </c>
      <c r="I8" s="23" t="s">
        <v>147</v>
      </c>
      <c r="K8" s="8">
        <f>'Buildings &amp; Machinery'!F53+'Buildings &amp; Machinery'!G53</f>
        <v>21.4416896</v>
      </c>
    </row>
    <row r="9" spans="2:11" x14ac:dyDescent="0.25">
      <c r="B9" s="45" t="s">
        <v>91</v>
      </c>
      <c r="C9" s="216"/>
      <c r="D9" s="381"/>
      <c r="E9" s="216"/>
      <c r="F9" s="216"/>
      <c r="G9" s="33">
        <f>((C9*D9*('Flock Assumptions'!$D$8+'Flock Assumptions'!$D$11))+(E9*F9*'Flock Assumptions'!$E$16))/100</f>
        <v>0</v>
      </c>
      <c r="I9" s="23" t="s">
        <v>126</v>
      </c>
      <c r="K9" s="8">
        <f>G23</f>
        <v>6.4518000000000004</v>
      </c>
    </row>
    <row r="10" spans="2:11" x14ac:dyDescent="0.25">
      <c r="B10" s="45" t="s">
        <v>346</v>
      </c>
      <c r="C10" s="216">
        <v>1</v>
      </c>
      <c r="D10" s="381">
        <v>2.34</v>
      </c>
      <c r="E10" s="216">
        <v>0</v>
      </c>
      <c r="F10" s="381">
        <v>0.93600000000000005</v>
      </c>
      <c r="G10" s="33">
        <f>((C10*D10*('Flock Assumptions'!$D$8+'Flock Assumptions'!$D$11))+(E10*F10*'Flock Assumptions'!$E$16))/100</f>
        <v>1.2167999999999999</v>
      </c>
      <c r="I10" s="148" t="s">
        <v>351</v>
      </c>
      <c r="J10" s="24"/>
      <c r="K10" s="313">
        <f>F37-F30</f>
        <v>16.072200000000002</v>
      </c>
    </row>
    <row r="11" spans="2:11" x14ac:dyDescent="0.25">
      <c r="B11" s="45" t="s">
        <v>347</v>
      </c>
      <c r="C11" s="216"/>
      <c r="D11" s="381">
        <v>1.02</v>
      </c>
      <c r="E11" s="216"/>
      <c r="F11" s="381">
        <v>0.40800000000000003</v>
      </c>
      <c r="G11" s="33">
        <f>((C11*D11*('Flock Assumptions'!$D$8+'Flock Assumptions'!$D$11))+(E11*F11*'Flock Assumptions'!$E$16))/100</f>
        <v>0</v>
      </c>
      <c r="I11" s="102" t="s">
        <v>180</v>
      </c>
      <c r="K11" s="76">
        <f>SUM(K6:K10)</f>
        <v>108.08324085000001</v>
      </c>
    </row>
    <row r="12" spans="2:11" x14ac:dyDescent="0.25">
      <c r="B12" s="45" t="s">
        <v>348</v>
      </c>
      <c r="C12" s="216"/>
      <c r="D12" s="381">
        <v>2.2400000000000002</v>
      </c>
      <c r="E12" s="216"/>
      <c r="F12" s="381">
        <v>0.89600000000000013</v>
      </c>
      <c r="G12" s="33">
        <f>((C12*D12*('Flock Assumptions'!$D$8+'Flock Assumptions'!$D$11))+(E12*F12*'Flock Assumptions'!$E$16))/100</f>
        <v>0</v>
      </c>
    </row>
    <row r="13" spans="2:11" x14ac:dyDescent="0.25">
      <c r="B13" s="45" t="s">
        <v>349</v>
      </c>
      <c r="C13" s="216"/>
      <c r="D13" s="381">
        <v>1.2</v>
      </c>
      <c r="E13" s="216"/>
      <c r="F13" s="216">
        <v>0.48</v>
      </c>
      <c r="G13" s="33">
        <f>((C13*D13*('Flock Assumptions'!$D$8+'Flock Assumptions'!$D$11))+(E13*F13*'Flock Assumptions'!$E$16))/100</f>
        <v>0</v>
      </c>
      <c r="I13" s="13" t="s">
        <v>116</v>
      </c>
      <c r="J13" s="13"/>
      <c r="K13" s="103">
        <f>(K11*'Cost Assumptions'!$D$29*'Cost Assumptions'!$D$28)</f>
        <v>7.2956187573749993</v>
      </c>
    </row>
    <row r="14" spans="2:11" x14ac:dyDescent="0.25">
      <c r="B14" s="45" t="s">
        <v>350</v>
      </c>
      <c r="C14" s="216"/>
      <c r="D14" s="381">
        <v>0.4</v>
      </c>
      <c r="E14" s="216"/>
      <c r="F14" s="216">
        <v>0.16</v>
      </c>
      <c r="G14" s="33">
        <f>((C14*D14*('Flock Assumptions'!$D$8+'Flock Assumptions'!$D$11))+(E14*F14*'Flock Assumptions'!$E$16))/100</f>
        <v>0</v>
      </c>
    </row>
    <row r="16" spans="2:11" ht="13.5" customHeight="1" x14ac:dyDescent="0.25">
      <c r="B16" s="468" t="s">
        <v>129</v>
      </c>
      <c r="C16" s="468"/>
      <c r="D16" s="468"/>
      <c r="E16" s="468"/>
      <c r="F16" s="468"/>
      <c r="G16" s="19"/>
    </row>
    <row r="17" spans="2:20" ht="14.25" customHeight="1" x14ac:dyDescent="0.25">
      <c r="B17" s="96" t="s">
        <v>1</v>
      </c>
      <c r="C17" s="12" t="s">
        <v>93</v>
      </c>
      <c r="D17" s="97"/>
      <c r="E17" s="97"/>
      <c r="F17" s="97"/>
      <c r="G17" s="19"/>
    </row>
    <row r="18" spans="2:20" x14ac:dyDescent="0.25">
      <c r="B18" s="147" t="s">
        <v>92</v>
      </c>
      <c r="C18" s="217">
        <v>100</v>
      </c>
      <c r="G18" s="33">
        <f>C18/'Flock Assumptions'!$D$8</f>
        <v>2</v>
      </c>
    </row>
    <row r="19" spans="2:20" x14ac:dyDescent="0.25">
      <c r="B19" s="45" t="s">
        <v>86</v>
      </c>
      <c r="C19" s="212">
        <v>125</v>
      </c>
      <c r="G19" s="33">
        <f>C19/'Flock Assumptions'!$D$8</f>
        <v>2.5</v>
      </c>
    </row>
    <row r="20" spans="2:20" x14ac:dyDescent="0.25">
      <c r="B20" s="45"/>
      <c r="C20" s="212"/>
      <c r="G20" s="33">
        <f>C20/'Flock Assumptions'!$D$8</f>
        <v>0</v>
      </c>
    </row>
    <row r="21" spans="2:20" x14ac:dyDescent="0.25">
      <c r="B21" s="45"/>
      <c r="C21" s="212"/>
      <c r="G21" s="33">
        <f>C21/'Flock Assumptions'!$D$8</f>
        <v>0</v>
      </c>
    </row>
    <row r="22" spans="2:20" x14ac:dyDescent="0.25">
      <c r="B22" s="45"/>
      <c r="C22" s="212"/>
      <c r="D22" s="98"/>
      <c r="E22" s="98"/>
      <c r="F22" s="98"/>
      <c r="G22" s="99">
        <f>C22/'Flock Assumptions'!$D$8</f>
        <v>0</v>
      </c>
    </row>
    <row r="23" spans="2:20" ht="14.25" customHeight="1" x14ac:dyDescent="0.25">
      <c r="B23" s="79" t="s">
        <v>85</v>
      </c>
      <c r="C23" s="13"/>
      <c r="D23" s="13"/>
      <c r="E23" s="13"/>
      <c r="F23" s="13"/>
      <c r="G23" s="100">
        <f>SUM(G8:G20)</f>
        <v>6.4518000000000004</v>
      </c>
    </row>
    <row r="24" spans="2:20" ht="21" customHeight="1" x14ac:dyDescent="0.25">
      <c r="T24" s="371"/>
    </row>
    <row r="25" spans="2:20" x14ac:dyDescent="0.25">
      <c r="B25" s="339" t="s">
        <v>265</v>
      </c>
      <c r="C25" s="339"/>
      <c r="D25" s="339"/>
      <c r="E25" s="339"/>
      <c r="F25" s="339"/>
      <c r="I25" s="339" t="s">
        <v>266</v>
      </c>
      <c r="J25" s="339"/>
      <c r="K25" s="339"/>
      <c r="L25" s="339"/>
      <c r="M25" s="339"/>
    </row>
    <row r="26" spans="2:20" x14ac:dyDescent="0.25">
      <c r="B26" s="11"/>
      <c r="C26" s="92"/>
      <c r="D26" s="6" t="s">
        <v>112</v>
      </c>
      <c r="E26" s="6" t="s">
        <v>83</v>
      </c>
      <c r="F26" s="6" t="s">
        <v>16</v>
      </c>
      <c r="I26" s="11"/>
      <c r="J26" s="92" t="s">
        <v>96</v>
      </c>
      <c r="K26" s="6" t="s">
        <v>26</v>
      </c>
      <c r="L26" s="6" t="s">
        <v>26</v>
      </c>
      <c r="M26" s="6" t="s">
        <v>16</v>
      </c>
    </row>
    <row r="27" spans="2:20" x14ac:dyDescent="0.25">
      <c r="B27" s="4" t="s">
        <v>94</v>
      </c>
      <c r="C27" s="50" t="s">
        <v>96</v>
      </c>
      <c r="D27" s="5" t="s">
        <v>113</v>
      </c>
      <c r="E27" s="5" t="s">
        <v>95</v>
      </c>
      <c r="F27" s="5" t="s">
        <v>324</v>
      </c>
      <c r="I27" s="4"/>
      <c r="J27" s="50" t="s">
        <v>97</v>
      </c>
      <c r="K27" s="5" t="s">
        <v>100</v>
      </c>
      <c r="L27" s="5" t="s">
        <v>106</v>
      </c>
      <c r="M27" s="5" t="s">
        <v>324</v>
      </c>
    </row>
    <row r="28" spans="2:20" x14ac:dyDescent="0.25">
      <c r="B28" s="1" t="s">
        <v>107</v>
      </c>
      <c r="C28" s="19" t="s">
        <v>282</v>
      </c>
      <c r="D28" s="324">
        <f>'Flock Assumptions'!D8</f>
        <v>50</v>
      </c>
      <c r="E28" s="218">
        <v>1</v>
      </c>
      <c r="F28" s="93">
        <f>E28</f>
        <v>1</v>
      </c>
      <c r="I28" s="61" t="s">
        <v>328</v>
      </c>
      <c r="J28" s="62" t="s">
        <v>127</v>
      </c>
      <c r="K28" s="45">
        <v>2</v>
      </c>
      <c r="L28" s="309">
        <f>K28*('Flock Assumptions'!D8+'Flock Assumptions'!D11)</f>
        <v>104</v>
      </c>
      <c r="M28" s="310">
        <f>(K28*'Cost Assumptions'!$D$20*('Flock Assumptions'!$D$8+'Flock Assumptions'!$D$11))/'Flock Assumptions'!$D$8</f>
        <v>36.816000000000003</v>
      </c>
      <c r="P28" s="382"/>
    </row>
    <row r="29" spans="2:20" x14ac:dyDescent="0.25">
      <c r="B29" s="1" t="s">
        <v>158</v>
      </c>
      <c r="C29" s="19" t="s">
        <v>101</v>
      </c>
      <c r="D29" s="94">
        <v>1</v>
      </c>
      <c r="E29" s="218">
        <v>100</v>
      </c>
      <c r="F29" s="93">
        <f>E29/'Flock Assumptions'!$D$8</f>
        <v>2</v>
      </c>
      <c r="I29" s="148" t="s">
        <v>330</v>
      </c>
      <c r="J29" s="305" t="s">
        <v>331</v>
      </c>
      <c r="K29" s="311">
        <v>0.5</v>
      </c>
      <c r="L29" s="312">
        <f>K29*'Flock Assumptions'!$E$16</f>
        <v>39.5</v>
      </c>
      <c r="M29" s="35">
        <f>(K29*'Flock Assumptions'!$E$16*'Cost Assumptions'!$D$20)/'Flock Assumptions'!$D$8</f>
        <v>13.982999999999999</v>
      </c>
      <c r="P29" s="372"/>
    </row>
    <row r="30" spans="2:20" x14ac:dyDescent="0.25">
      <c r="B30" s="1" t="s">
        <v>50</v>
      </c>
      <c r="C30" s="19" t="s">
        <v>232</v>
      </c>
      <c r="D30" s="380">
        <v>7.4999999999999997E-2</v>
      </c>
      <c r="E30" s="122">
        <f>SUM('Flock Assumptions'!J12)</f>
        <v>266.45300000000003</v>
      </c>
      <c r="F30" s="93">
        <f>(D30*E30)</f>
        <v>19.983975000000001</v>
      </c>
      <c r="I30" s="79" t="s">
        <v>329</v>
      </c>
      <c r="J30" s="13"/>
      <c r="K30" s="13"/>
      <c r="L30" s="101">
        <f>SUM(L28:L29)</f>
        <v>143.5</v>
      </c>
      <c r="M30" s="100">
        <f>SUM(M28:M29)</f>
        <v>50.798999999999999</v>
      </c>
    </row>
    <row r="31" spans="2:20" x14ac:dyDescent="0.25">
      <c r="B31" s="1" t="s">
        <v>98</v>
      </c>
      <c r="C31" s="19" t="s">
        <v>325</v>
      </c>
      <c r="D31" s="45">
        <v>0.25</v>
      </c>
      <c r="E31" s="218">
        <v>5</v>
      </c>
      <c r="F31" s="95">
        <f>(D31*E31)</f>
        <v>1.25</v>
      </c>
    </row>
    <row r="32" spans="2:20" x14ac:dyDescent="0.25">
      <c r="B32" s="1" t="s">
        <v>81</v>
      </c>
      <c r="C32" s="19" t="s">
        <v>156</v>
      </c>
      <c r="D32" s="45">
        <v>1</v>
      </c>
      <c r="E32" s="122">
        <f>'Cost Assumptions'!D17/100</f>
        <v>0.7</v>
      </c>
      <c r="F32" s="95">
        <f>((D32*1+'Cost Assumptions'!F17)*E32*'Flock Assumptions'!D19*365)/'Flock Assumptions'!$D$8</f>
        <v>10.3222</v>
      </c>
    </row>
    <row r="33" spans="2:16" x14ac:dyDescent="0.25">
      <c r="B33" s="1" t="s">
        <v>144</v>
      </c>
      <c r="C33" s="19" t="s">
        <v>101</v>
      </c>
      <c r="D33" s="45">
        <v>0</v>
      </c>
      <c r="E33" s="218">
        <v>0</v>
      </c>
      <c r="F33" s="95">
        <f>D33*('Flock Assumptions'!$D$8+'Flock Assumptions'!$D$11)/'Flock Assumptions'!$D$8</f>
        <v>0</v>
      </c>
    </row>
    <row r="34" spans="2:16" x14ac:dyDescent="0.25">
      <c r="B34" s="1" t="s">
        <v>99</v>
      </c>
      <c r="C34" s="19" t="s">
        <v>102</v>
      </c>
      <c r="D34" s="45">
        <v>0.25</v>
      </c>
      <c r="E34" s="218">
        <v>600</v>
      </c>
      <c r="F34" s="95">
        <f>(D34*E34)/'Flock Assumptions'!$D$8</f>
        <v>3</v>
      </c>
    </row>
    <row r="35" spans="2:16" ht="17.25" customHeight="1" x14ac:dyDescent="0.25">
      <c r="B35" s="1" t="s">
        <v>108</v>
      </c>
      <c r="C35" s="19" t="s">
        <v>102</v>
      </c>
      <c r="D35" s="45">
        <v>0.25</v>
      </c>
      <c r="E35" s="218">
        <v>300</v>
      </c>
      <c r="F35" s="95">
        <f>(D35*E35)/'Flock Assumptions'!$D$8</f>
        <v>1.5</v>
      </c>
      <c r="P35" s="371"/>
    </row>
    <row r="36" spans="2:16" x14ac:dyDescent="0.25">
      <c r="B36" s="24" t="s">
        <v>103</v>
      </c>
      <c r="C36" s="305" t="s">
        <v>101</v>
      </c>
      <c r="D36" s="306">
        <v>1</v>
      </c>
      <c r="E36" s="307">
        <v>0</v>
      </c>
      <c r="F36" s="308">
        <f>(D36*E36)/'Flock Assumptions'!$D$8</f>
        <v>0</v>
      </c>
      <c r="P36" s="371"/>
    </row>
    <row r="37" spans="2:16" x14ac:dyDescent="0.25">
      <c r="B37" s="25" t="s">
        <v>105</v>
      </c>
      <c r="C37" s="13"/>
      <c r="D37" s="13"/>
      <c r="E37" s="13"/>
      <c r="F37" s="80">
        <f>SUM(F30:F36)</f>
        <v>36.056175000000003</v>
      </c>
    </row>
    <row r="42" spans="2:16" ht="18.75" customHeight="1" x14ac:dyDescent="0.25"/>
  </sheetData>
  <sheetProtection sheet="1" objects="1" scenarios="1"/>
  <mergeCells count="2">
    <mergeCell ref="B5:F5"/>
    <mergeCell ref="B16:F16"/>
  </mergeCells>
  <pageMargins left="0.7" right="0.7" top="0.75" bottom="0.75" header="0.3" footer="0.3"/>
  <pageSetup scale="92" fitToWidth="2" orientation="landscape" r:id="rId1"/>
  <colBreaks count="1" manualBreakCount="1">
    <brk id="7" min="1"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2:M60"/>
  <sheetViews>
    <sheetView showGridLines="0" zoomScaleNormal="100" workbookViewId="0"/>
  </sheetViews>
  <sheetFormatPr defaultColWidth="9.140625" defaultRowHeight="15" x14ac:dyDescent="0.25"/>
  <cols>
    <col min="1" max="1" width="6.140625" style="22" customWidth="1"/>
    <col min="2" max="2" width="49.7109375" style="22" customWidth="1"/>
    <col min="3" max="3" width="12.85546875" style="22" customWidth="1"/>
    <col min="4" max="7" width="10.7109375" style="22" customWidth="1"/>
    <col min="8" max="8" width="11.42578125" style="22" customWidth="1"/>
    <col min="9" max="11" width="11.7109375" style="22" customWidth="1"/>
    <col min="12" max="13" width="10.7109375" style="22" customWidth="1"/>
    <col min="14" max="14" width="10.140625" style="22" bestFit="1" customWidth="1"/>
    <col min="15" max="16384" width="9.140625" style="22"/>
  </cols>
  <sheetData>
    <row r="2" spans="2:11" x14ac:dyDescent="0.25">
      <c r="B2" s="162" t="s">
        <v>256</v>
      </c>
      <c r="C2" s="64"/>
      <c r="D2" s="64"/>
      <c r="E2" s="64"/>
      <c r="F2" s="64"/>
      <c r="G2" s="64"/>
      <c r="H2" s="64"/>
      <c r="I2" s="64"/>
      <c r="J2" s="64"/>
      <c r="K2" s="163" t="s">
        <v>78</v>
      </c>
    </row>
    <row r="3" spans="2:11" x14ac:dyDescent="0.25">
      <c r="D3" s="85"/>
      <c r="E3" s="86"/>
      <c r="F3" s="87"/>
      <c r="G3" s="164"/>
      <c r="H3" s="87"/>
      <c r="I3" s="88"/>
    </row>
    <row r="4" spans="2:11" ht="12" customHeight="1" x14ac:dyDescent="0.25">
      <c r="B4" s="344" t="s">
        <v>257</v>
      </c>
      <c r="C4" s="341" t="s">
        <v>22</v>
      </c>
      <c r="D4" s="341" t="s">
        <v>23</v>
      </c>
      <c r="E4" s="341" t="s">
        <v>45</v>
      </c>
      <c r="F4" s="341" t="s">
        <v>52</v>
      </c>
      <c r="G4" s="341" t="s">
        <v>25</v>
      </c>
      <c r="H4" s="341" t="s">
        <v>140</v>
      </c>
      <c r="I4" s="341" t="s">
        <v>24</v>
      </c>
      <c r="J4" s="341" t="s">
        <v>139</v>
      </c>
      <c r="K4" s="341" t="s">
        <v>26</v>
      </c>
    </row>
    <row r="5" spans="2:11" ht="12" customHeight="1" x14ac:dyDescent="0.25">
      <c r="B5" s="345"/>
      <c r="C5" s="342" t="s">
        <v>39</v>
      </c>
      <c r="D5" s="342" t="s">
        <v>40</v>
      </c>
      <c r="E5" s="342" t="s">
        <v>41</v>
      </c>
      <c r="F5" s="342" t="s">
        <v>42</v>
      </c>
      <c r="G5" s="342" t="s">
        <v>42</v>
      </c>
      <c r="H5" s="342" t="s">
        <v>149</v>
      </c>
      <c r="I5" s="342" t="s">
        <v>42</v>
      </c>
      <c r="J5" s="342" t="s">
        <v>149</v>
      </c>
      <c r="K5" s="342" t="s">
        <v>43</v>
      </c>
    </row>
    <row r="6" spans="2:11" ht="20.25" customHeight="1" x14ac:dyDescent="0.25">
      <c r="B6" s="166" t="s">
        <v>258</v>
      </c>
      <c r="C6" s="167"/>
      <c r="D6" s="167"/>
      <c r="E6" s="167"/>
      <c r="F6" s="167"/>
      <c r="G6" s="167"/>
      <c r="H6" s="167"/>
      <c r="I6" s="167"/>
      <c r="J6" s="167"/>
      <c r="K6" s="167"/>
    </row>
    <row r="7" spans="2:11" x14ac:dyDescent="0.25">
      <c r="B7" s="201" t="s">
        <v>335</v>
      </c>
      <c r="C7" s="201">
        <v>10000</v>
      </c>
      <c r="D7" s="68">
        <v>0.2</v>
      </c>
      <c r="E7" s="202">
        <v>25</v>
      </c>
      <c r="F7" s="415">
        <v>8.0000000000000002E-3</v>
      </c>
      <c r="G7" s="203">
        <v>1.4999999999999999E-2</v>
      </c>
      <c r="H7" s="168"/>
      <c r="I7" s="169"/>
      <c r="J7" s="170"/>
      <c r="K7" s="68">
        <v>1</v>
      </c>
    </row>
    <row r="8" spans="2:11" x14ac:dyDescent="0.25">
      <c r="B8" s="201" t="s">
        <v>125</v>
      </c>
      <c r="C8" s="201">
        <v>1500</v>
      </c>
      <c r="D8" s="68">
        <v>0.2</v>
      </c>
      <c r="E8" s="202">
        <v>20</v>
      </c>
      <c r="F8" s="203">
        <v>0</v>
      </c>
      <c r="G8" s="203">
        <v>0.03</v>
      </c>
      <c r="H8" s="171"/>
      <c r="I8" s="172"/>
      <c r="J8" s="173"/>
      <c r="K8" s="68">
        <v>1</v>
      </c>
    </row>
    <row r="9" spans="2:11" x14ac:dyDescent="0.25">
      <c r="B9" s="204" t="s">
        <v>250</v>
      </c>
      <c r="C9" s="201"/>
      <c r="D9" s="68"/>
      <c r="E9" s="202"/>
      <c r="F9" s="203"/>
      <c r="G9" s="203"/>
      <c r="H9" s="174"/>
      <c r="I9" s="175"/>
      <c r="J9" s="176"/>
      <c r="K9" s="68"/>
    </row>
    <row r="10" spans="2:11" ht="23.25" customHeight="1" x14ac:dyDescent="0.25">
      <c r="B10" s="177" t="s">
        <v>259</v>
      </c>
      <c r="C10" s="178"/>
      <c r="D10" s="179"/>
      <c r="E10" s="58"/>
      <c r="F10" s="180"/>
      <c r="G10" s="165"/>
      <c r="H10" s="181"/>
      <c r="I10" s="181"/>
      <c r="J10" s="58"/>
      <c r="K10" s="179"/>
    </row>
    <row r="11" spans="2:11" x14ac:dyDescent="0.25">
      <c r="B11" s="201" t="s">
        <v>236</v>
      </c>
      <c r="C11" s="201">
        <v>17000</v>
      </c>
      <c r="D11" s="68">
        <v>0.3</v>
      </c>
      <c r="E11" s="202">
        <v>10</v>
      </c>
      <c r="F11" s="203">
        <v>2E-3</v>
      </c>
      <c r="G11" s="203">
        <v>1.4999999999999999E-2</v>
      </c>
      <c r="H11" s="202">
        <f>55*'Cost Assumptions'!D25</f>
        <v>2.42</v>
      </c>
      <c r="I11" s="203">
        <v>0.08</v>
      </c>
      <c r="J11" s="202">
        <v>100</v>
      </c>
      <c r="K11" s="68">
        <v>0.2</v>
      </c>
    </row>
    <row r="12" spans="2:11" x14ac:dyDescent="0.25">
      <c r="B12" s="201" t="s">
        <v>137</v>
      </c>
      <c r="C12" s="201">
        <v>3000</v>
      </c>
      <c r="D12" s="68">
        <v>0.15</v>
      </c>
      <c r="E12" s="202">
        <v>10</v>
      </c>
      <c r="F12" s="203">
        <v>2E-3</v>
      </c>
      <c r="G12" s="203">
        <v>0.01</v>
      </c>
      <c r="H12" s="202">
        <v>0.33</v>
      </c>
      <c r="I12" s="203">
        <v>0.08</v>
      </c>
      <c r="J12" s="202">
        <v>100</v>
      </c>
      <c r="K12" s="68">
        <v>0.2</v>
      </c>
    </row>
    <row r="13" spans="2:11" x14ac:dyDescent="0.25">
      <c r="B13" s="201" t="s">
        <v>138</v>
      </c>
      <c r="C13" s="201">
        <v>20000</v>
      </c>
      <c r="D13" s="68">
        <v>0.3</v>
      </c>
      <c r="E13" s="202">
        <v>8</v>
      </c>
      <c r="F13" s="203">
        <v>0.04</v>
      </c>
      <c r="G13" s="203">
        <v>3.5000000000000003E-2</v>
      </c>
      <c r="H13" s="202">
        <v>7.4999999999999997E-2</v>
      </c>
      <c r="I13" s="203">
        <v>0.08</v>
      </c>
      <c r="J13" s="201">
        <v>8000</v>
      </c>
      <c r="K13" s="68">
        <v>0.1</v>
      </c>
    </row>
    <row r="14" spans="2:11" x14ac:dyDescent="0.25">
      <c r="B14" s="201" t="s">
        <v>235</v>
      </c>
      <c r="C14" s="201">
        <v>1500</v>
      </c>
      <c r="D14" s="68">
        <v>0.15</v>
      </c>
      <c r="E14" s="202">
        <v>10</v>
      </c>
      <c r="F14" s="203">
        <v>2E-3</v>
      </c>
      <c r="G14" s="203">
        <v>1.4999999999999999E-2</v>
      </c>
      <c r="H14" s="202"/>
      <c r="I14" s="203"/>
      <c r="J14" s="201"/>
      <c r="K14" s="68">
        <v>0.2</v>
      </c>
    </row>
    <row r="15" spans="2:11" x14ac:dyDescent="0.25">
      <c r="B15" s="201" t="s">
        <v>27</v>
      </c>
      <c r="C15" s="201">
        <v>3500</v>
      </c>
      <c r="D15" s="68">
        <v>0.2</v>
      </c>
      <c r="E15" s="202">
        <v>15</v>
      </c>
      <c r="F15" s="203">
        <v>2E-3</v>
      </c>
      <c r="G15" s="203">
        <v>0.01</v>
      </c>
      <c r="H15" s="202"/>
      <c r="I15" s="203"/>
      <c r="J15" s="201"/>
      <c r="K15" s="68">
        <v>1</v>
      </c>
    </row>
    <row r="16" spans="2:11" x14ac:dyDescent="0.25">
      <c r="B16" s="205" t="s">
        <v>251</v>
      </c>
      <c r="C16" s="206"/>
      <c r="D16" s="207"/>
      <c r="E16" s="208"/>
      <c r="F16" s="209"/>
      <c r="G16" s="208"/>
      <c r="H16" s="209"/>
      <c r="I16" s="209"/>
      <c r="J16" s="208"/>
      <c r="K16" s="207"/>
    </row>
    <row r="17" spans="2:13" x14ac:dyDescent="0.25">
      <c r="B17" s="182" t="s">
        <v>33</v>
      </c>
      <c r="C17" s="183">
        <f>SUM(C7:C16)</f>
        <v>56500</v>
      </c>
      <c r="D17" s="183">
        <f>SUMPRODUCT(C7:C15,D7:D15)</f>
        <v>14775</v>
      </c>
      <c r="E17" s="64"/>
      <c r="F17" s="46"/>
      <c r="G17" s="46"/>
      <c r="H17" s="46"/>
      <c r="I17" s="46"/>
      <c r="J17" s="46"/>
      <c r="K17" s="46"/>
      <c r="M17" s="89"/>
    </row>
    <row r="18" spans="2:13" ht="23.25" customHeight="1" x14ac:dyDescent="0.25">
      <c r="B18" s="184"/>
      <c r="C18" s="185"/>
      <c r="F18" s="29"/>
      <c r="G18" s="29"/>
      <c r="H18" s="29"/>
      <c r="I18" s="29"/>
      <c r="J18" s="29"/>
      <c r="K18" s="29"/>
      <c r="M18" s="89"/>
    </row>
    <row r="19" spans="2:13" x14ac:dyDescent="0.25">
      <c r="B19" s="344" t="s">
        <v>260</v>
      </c>
      <c r="C19" s="341" t="s">
        <v>167</v>
      </c>
      <c r="D19" s="341" t="s">
        <v>30</v>
      </c>
      <c r="E19" s="341" t="s">
        <v>29</v>
      </c>
      <c r="F19" s="341" t="s">
        <v>28</v>
      </c>
      <c r="G19" s="341" t="s">
        <v>25</v>
      </c>
      <c r="H19" s="341" t="s">
        <v>10</v>
      </c>
      <c r="I19" s="341" t="s">
        <v>24</v>
      </c>
      <c r="J19" s="341" t="s">
        <v>31</v>
      </c>
      <c r="L19" s="32" t="s">
        <v>77</v>
      </c>
    </row>
    <row r="20" spans="2:13" x14ac:dyDescent="0.25">
      <c r="B20" s="346"/>
      <c r="C20" s="342" t="s">
        <v>168</v>
      </c>
      <c r="D20" s="342" t="s">
        <v>38</v>
      </c>
      <c r="E20" s="342" t="s">
        <v>20</v>
      </c>
      <c r="F20" s="342" t="s">
        <v>20</v>
      </c>
      <c r="G20" s="342" t="s">
        <v>20</v>
      </c>
      <c r="H20" s="342" t="s">
        <v>20</v>
      </c>
      <c r="I20" s="342" t="s">
        <v>20</v>
      </c>
      <c r="J20" s="342" t="s">
        <v>32</v>
      </c>
      <c r="L20" s="41" t="s">
        <v>135</v>
      </c>
    </row>
    <row r="21" spans="2:13" x14ac:dyDescent="0.25">
      <c r="B21" s="90" t="str">
        <f>B7</f>
        <v>Buildings for kidding and storage</v>
      </c>
      <c r="C21" s="374">
        <f>(C7+(C7*D7))/2</f>
        <v>6000</v>
      </c>
      <c r="D21" s="374">
        <f>C21*'Cost Assumptions'!$D$30</f>
        <v>300</v>
      </c>
      <c r="E21" s="374">
        <f>IFERROR(C7*(1-D7)/E7,0)</f>
        <v>320</v>
      </c>
      <c r="F21" s="373">
        <f>C7*F7</f>
        <v>80</v>
      </c>
      <c r="G21" s="373">
        <f>G7*C7</f>
        <v>150</v>
      </c>
      <c r="H21" s="168"/>
      <c r="I21" s="168"/>
      <c r="J21" s="187"/>
      <c r="L21" s="91">
        <f>IFERROR(SUM(D21:G21)/C7,0)</f>
        <v>8.5000000000000006E-2</v>
      </c>
    </row>
    <row r="22" spans="2:13" x14ac:dyDescent="0.25">
      <c r="B22" s="90" t="str">
        <f>B8</f>
        <v>Working system, pens, feeders, water</v>
      </c>
      <c r="C22" s="374">
        <f>(C8+(C8*D8))/2</f>
        <v>900</v>
      </c>
      <c r="D22" s="374">
        <f>C22*'Cost Assumptions'!$D$30</f>
        <v>45</v>
      </c>
      <c r="E22" s="374">
        <f>IFERROR(C8*(1-D8)/E8,0)</f>
        <v>60</v>
      </c>
      <c r="F22" s="373">
        <f>C8*F8</f>
        <v>0</v>
      </c>
      <c r="G22" s="373">
        <f>G8*C8</f>
        <v>45</v>
      </c>
      <c r="H22" s="171"/>
      <c r="I22" s="171"/>
      <c r="J22" s="188"/>
      <c r="L22" s="91">
        <f>IFERROR(SUM(D22:G22)/C8,0)</f>
        <v>0.1</v>
      </c>
    </row>
    <row r="23" spans="2:13" x14ac:dyDescent="0.25">
      <c r="B23" s="90" t="str">
        <f>B9</f>
        <v>Line to add optional facility</v>
      </c>
      <c r="C23" s="374">
        <f>(C9+(C9*D9))/2</f>
        <v>0</v>
      </c>
      <c r="D23" s="375">
        <f>C23*'Cost Assumptions'!$D$30</f>
        <v>0</v>
      </c>
      <c r="E23" s="374">
        <f>IFERROR(C9*(1-D9)/E9,0)</f>
        <v>0</v>
      </c>
      <c r="F23" s="373">
        <f>C9*F9</f>
        <v>0</v>
      </c>
      <c r="G23" s="373">
        <f>G9*C9</f>
        <v>0</v>
      </c>
      <c r="H23" s="174"/>
      <c r="I23" s="174"/>
      <c r="J23" s="189"/>
      <c r="L23" s="91">
        <f>IFERROR(SUM(D23:G23)/C9,0)</f>
        <v>0</v>
      </c>
    </row>
    <row r="24" spans="2:13" x14ac:dyDescent="0.25">
      <c r="C24" s="90"/>
      <c r="D24" s="186"/>
      <c r="E24" s="186"/>
      <c r="F24" s="186"/>
      <c r="G24" s="186"/>
      <c r="J24" s="90"/>
      <c r="L24" s="91"/>
    </row>
    <row r="25" spans="2:13" x14ac:dyDescent="0.25">
      <c r="B25" s="90" t="str">
        <f t="shared" ref="B25:B30" si="0">B11</f>
        <v>Tractor-loader, 60 Hp MFWD (hr)</v>
      </c>
      <c r="C25" s="373">
        <f t="shared" ref="C25:C30" si="1">(C11+(C11*D11))/2</f>
        <v>11050</v>
      </c>
      <c r="D25" s="374">
        <f>C25*'Cost Assumptions'!$D$30</f>
        <v>552.5</v>
      </c>
      <c r="E25" s="373">
        <f t="shared" ref="E25:E30" si="2">IFERROR(C11*(1-D11)/E11,0)</f>
        <v>1190</v>
      </c>
      <c r="F25" s="373">
        <f t="shared" ref="F25:F30" si="3">C11*F11</f>
        <v>34</v>
      </c>
      <c r="G25" s="373">
        <f t="shared" ref="G25:G30" si="4">C11*G11</f>
        <v>255</v>
      </c>
      <c r="H25" s="373">
        <f>H11*J11*'Cost Assumptions'!$D$23</f>
        <v>984.94</v>
      </c>
      <c r="I25" s="373">
        <f t="shared" ref="I25:I30" si="5">H25*I11</f>
        <v>78.795200000000008</v>
      </c>
      <c r="J25" s="378">
        <f t="shared" ref="J25:J30" si="6">IFERROR(SUM(G25:I25)/J11,0)</f>
        <v>13.187352000000001</v>
      </c>
      <c r="L25" s="91">
        <f t="shared" ref="L25:L30" si="7">IFERROR(SUM(D25:G25)/C11,0)</f>
        <v>0.1195</v>
      </c>
    </row>
    <row r="26" spans="2:13" x14ac:dyDescent="0.25">
      <c r="B26" s="90" t="str">
        <f t="shared" si="0"/>
        <v>ATV (hr)</v>
      </c>
      <c r="C26" s="373">
        <f t="shared" si="1"/>
        <v>1725</v>
      </c>
      <c r="D26" s="374">
        <f>C26*'Cost Assumptions'!$D$30</f>
        <v>86.25</v>
      </c>
      <c r="E26" s="373">
        <f t="shared" si="2"/>
        <v>255</v>
      </c>
      <c r="F26" s="373">
        <f>C12*F12</f>
        <v>6</v>
      </c>
      <c r="G26" s="373">
        <f>C12*G12</f>
        <v>30</v>
      </c>
      <c r="H26" s="374">
        <f>H12*J12*'Cost Assumptions'!D24</f>
        <v>147.84</v>
      </c>
      <c r="I26" s="374">
        <f t="shared" si="5"/>
        <v>11.827200000000001</v>
      </c>
      <c r="J26" s="378">
        <f t="shared" si="6"/>
        <v>1.8966720000000001</v>
      </c>
      <c r="L26" s="91">
        <f>IFERROR(SUM(D26:G26)/C12,0)</f>
        <v>0.12575</v>
      </c>
    </row>
    <row r="27" spans="2:13" x14ac:dyDescent="0.25">
      <c r="B27" s="90" t="str">
        <f t="shared" si="0"/>
        <v>Pickup (mi)</v>
      </c>
      <c r="C27" s="373">
        <f t="shared" si="1"/>
        <v>13000</v>
      </c>
      <c r="D27" s="374">
        <f>C27*'Cost Assumptions'!$D$30</f>
        <v>650</v>
      </c>
      <c r="E27" s="373">
        <f t="shared" si="2"/>
        <v>1750</v>
      </c>
      <c r="F27" s="373">
        <f>C13*F13</f>
        <v>800</v>
      </c>
      <c r="G27" s="373">
        <f>C13*G13</f>
        <v>700.00000000000011</v>
      </c>
      <c r="H27" s="374">
        <f>H13*J13*'Cost Assumptions'!D24</f>
        <v>2688.0000000000005</v>
      </c>
      <c r="I27" s="374">
        <f t="shared" si="5"/>
        <v>215.04000000000005</v>
      </c>
      <c r="J27" s="378">
        <f t="shared" si="6"/>
        <v>0.45038000000000006</v>
      </c>
      <c r="L27" s="91">
        <f>IFERROR(SUM(D27:G27)/C13,0)</f>
        <v>0.19500000000000001</v>
      </c>
    </row>
    <row r="28" spans="2:13" x14ac:dyDescent="0.25">
      <c r="B28" s="90" t="str">
        <f t="shared" si="0"/>
        <v>Rotary mower, 8 ft.</v>
      </c>
      <c r="C28" s="373">
        <f t="shared" si="1"/>
        <v>862.5</v>
      </c>
      <c r="D28" s="374">
        <f>C28*'Cost Assumptions'!$D$30</f>
        <v>43.125</v>
      </c>
      <c r="E28" s="373">
        <f t="shared" si="2"/>
        <v>127.5</v>
      </c>
      <c r="F28" s="373">
        <f>C14*F14</f>
        <v>3</v>
      </c>
      <c r="G28" s="373">
        <f>C14*G14</f>
        <v>22.5</v>
      </c>
      <c r="H28" s="374">
        <f>H14*J14*'Cost Assumptions'!D25</f>
        <v>0</v>
      </c>
      <c r="I28" s="374">
        <f t="shared" si="5"/>
        <v>0</v>
      </c>
      <c r="J28" s="378">
        <f t="shared" si="6"/>
        <v>0</v>
      </c>
      <c r="L28" s="91">
        <f>IFERROR(SUM(D28:G28)/C14,0)</f>
        <v>0.13075000000000001</v>
      </c>
    </row>
    <row r="29" spans="2:13" x14ac:dyDescent="0.25">
      <c r="B29" s="90" t="str">
        <f t="shared" si="0"/>
        <v>Stock trailer, 16 ft.</v>
      </c>
      <c r="C29" s="373">
        <f t="shared" si="1"/>
        <v>2100</v>
      </c>
      <c r="D29" s="374">
        <f>C29*'Cost Assumptions'!$D$30</f>
        <v>105</v>
      </c>
      <c r="E29" s="373">
        <f t="shared" si="2"/>
        <v>186.66666666666666</v>
      </c>
      <c r="F29" s="373">
        <f>C15*F15</f>
        <v>7</v>
      </c>
      <c r="G29" s="373">
        <f>C15*G15</f>
        <v>35</v>
      </c>
      <c r="H29" s="374">
        <f>H15*J15*'Cost Assumptions'!D26</f>
        <v>0</v>
      </c>
      <c r="I29" s="374">
        <f t="shared" si="5"/>
        <v>0</v>
      </c>
      <c r="J29" s="378">
        <f t="shared" si="6"/>
        <v>0</v>
      </c>
      <c r="L29" s="91">
        <f>IFERROR(SUM(D29:G29)/C15,0)</f>
        <v>9.5333333333333325E-2</v>
      </c>
    </row>
    <row r="30" spans="2:13" x14ac:dyDescent="0.25">
      <c r="B30" s="137" t="str">
        <f t="shared" si="0"/>
        <v>Line to add optional equipment</v>
      </c>
      <c r="C30" s="376">
        <f t="shared" si="1"/>
        <v>0</v>
      </c>
      <c r="D30" s="377">
        <f>C30*'Cost Assumptions'!$D$30</f>
        <v>0</v>
      </c>
      <c r="E30" s="376">
        <f t="shared" si="2"/>
        <v>0</v>
      </c>
      <c r="F30" s="376">
        <f t="shared" si="3"/>
        <v>0</v>
      </c>
      <c r="G30" s="376">
        <f t="shared" si="4"/>
        <v>0</v>
      </c>
      <c r="H30" s="377">
        <f>H16*J16*'Cost Assumptions'!D27</f>
        <v>0</v>
      </c>
      <c r="I30" s="377">
        <f t="shared" si="5"/>
        <v>0</v>
      </c>
      <c r="J30" s="379">
        <f t="shared" si="6"/>
        <v>0</v>
      </c>
      <c r="L30" s="91">
        <f t="shared" si="7"/>
        <v>0</v>
      </c>
    </row>
    <row r="31" spans="2:13" x14ac:dyDescent="0.25">
      <c r="B31" s="182" t="s">
        <v>33</v>
      </c>
      <c r="C31" s="183">
        <f>SUM(C21:C30)</f>
        <v>35637.5</v>
      </c>
      <c r="D31" s="183">
        <f t="shared" ref="D31:I31" si="8">SUM(D21:D30)</f>
        <v>1781.875</v>
      </c>
      <c r="E31" s="183">
        <f t="shared" si="8"/>
        <v>3889.1666666666665</v>
      </c>
      <c r="F31" s="183">
        <f t="shared" si="8"/>
        <v>930</v>
      </c>
      <c r="G31" s="183">
        <f t="shared" si="8"/>
        <v>1237.5</v>
      </c>
      <c r="H31" s="183">
        <f t="shared" si="8"/>
        <v>3820.7800000000007</v>
      </c>
      <c r="I31" s="183">
        <f t="shared" si="8"/>
        <v>305.66240000000005</v>
      </c>
      <c r="J31" s="183"/>
    </row>
    <row r="32" spans="2:13" ht="24.75" customHeight="1" x14ac:dyDescent="0.25"/>
    <row r="33" spans="2:11" x14ac:dyDescent="0.25">
      <c r="B33" s="344" t="s">
        <v>261</v>
      </c>
      <c r="C33" s="341" t="s">
        <v>167</v>
      </c>
      <c r="D33" s="341" t="s">
        <v>34</v>
      </c>
      <c r="E33" s="341" t="s">
        <v>29</v>
      </c>
      <c r="F33" s="341" t="s">
        <v>28</v>
      </c>
      <c r="G33" s="341" t="s">
        <v>25</v>
      </c>
      <c r="H33" s="341" t="s">
        <v>10</v>
      </c>
      <c r="I33" s="341" t="s">
        <v>24</v>
      </c>
    </row>
    <row r="34" spans="2:11" x14ac:dyDescent="0.25">
      <c r="B34" s="345"/>
      <c r="C34" s="342" t="s">
        <v>38</v>
      </c>
      <c r="D34" s="342" t="s">
        <v>136</v>
      </c>
      <c r="E34" s="342" t="s">
        <v>20</v>
      </c>
      <c r="F34" s="342" t="s">
        <v>20</v>
      </c>
      <c r="G34" s="342" t="s">
        <v>20</v>
      </c>
      <c r="H34" s="342" t="s">
        <v>20</v>
      </c>
      <c r="I34" s="342" t="s">
        <v>20</v>
      </c>
    </row>
    <row r="35" spans="2:11" x14ac:dyDescent="0.25">
      <c r="B35" s="90" t="str">
        <f>B7</f>
        <v>Buildings for kidding and storage</v>
      </c>
      <c r="C35" s="90">
        <f>C21*K7</f>
        <v>6000</v>
      </c>
      <c r="D35" s="186">
        <f>D21*K7</f>
        <v>300</v>
      </c>
      <c r="E35" s="186">
        <f>E21*$K$7</f>
        <v>320</v>
      </c>
      <c r="F35" s="186">
        <f t="shared" ref="E35:F37" si="9">F21*$K$7</f>
        <v>80</v>
      </c>
      <c r="G35" s="186">
        <f>G21*K7</f>
        <v>150</v>
      </c>
      <c r="H35" s="168"/>
      <c r="I35" s="170"/>
    </row>
    <row r="36" spans="2:11" x14ac:dyDescent="0.25">
      <c r="B36" s="90" t="str">
        <f>B8</f>
        <v>Working system, pens, feeders, water</v>
      </c>
      <c r="C36" s="90">
        <f>C22*K8</f>
        <v>900</v>
      </c>
      <c r="D36" s="186">
        <f t="shared" ref="D36:D44" si="10">D22*K8</f>
        <v>45</v>
      </c>
      <c r="E36" s="186">
        <f t="shared" si="9"/>
        <v>60</v>
      </c>
      <c r="F36" s="186">
        <f t="shared" si="9"/>
        <v>0</v>
      </c>
      <c r="G36" s="186">
        <f t="shared" ref="G36:G44" si="11">G22*K8</f>
        <v>45</v>
      </c>
      <c r="H36" s="171"/>
      <c r="I36" s="173"/>
    </row>
    <row r="37" spans="2:11" x14ac:dyDescent="0.25">
      <c r="B37" s="90" t="str">
        <f>B9</f>
        <v>Line to add optional facility</v>
      </c>
      <c r="C37" s="90">
        <f>C23*K9</f>
        <v>0</v>
      </c>
      <c r="D37" s="186">
        <f t="shared" si="10"/>
        <v>0</v>
      </c>
      <c r="E37" s="186">
        <f t="shared" si="9"/>
        <v>0</v>
      </c>
      <c r="F37" s="186">
        <f t="shared" si="9"/>
        <v>0</v>
      </c>
      <c r="G37" s="186">
        <f t="shared" si="11"/>
        <v>0</v>
      </c>
      <c r="H37" s="174"/>
      <c r="I37" s="176"/>
      <c r="K37" s="22" t="s">
        <v>46</v>
      </c>
    </row>
    <row r="38" spans="2:11" x14ac:dyDescent="0.25">
      <c r="C38" s="90"/>
      <c r="D38" s="186"/>
      <c r="E38" s="186"/>
      <c r="F38" s="186"/>
      <c r="G38" s="186"/>
    </row>
    <row r="39" spans="2:11" x14ac:dyDescent="0.25">
      <c r="B39" s="90" t="str">
        <f t="shared" ref="B39:B44" si="12">B11</f>
        <v>Tractor-loader, 60 Hp MFWD (hr)</v>
      </c>
      <c r="C39" s="90">
        <f t="shared" ref="C39:C44" si="13">C25*K11</f>
        <v>2210</v>
      </c>
      <c r="D39" s="186">
        <f>D25*K11</f>
        <v>110.5</v>
      </c>
      <c r="E39" s="186">
        <f>E25*K11</f>
        <v>238</v>
      </c>
      <c r="F39" s="186">
        <f t="shared" ref="F39:F44" si="14">F25*K11</f>
        <v>6.8000000000000007</v>
      </c>
      <c r="G39" s="186">
        <f>G25*K11</f>
        <v>51</v>
      </c>
      <c r="H39" s="186">
        <f>H25*K11</f>
        <v>196.98800000000003</v>
      </c>
      <c r="I39" s="186">
        <f>I25*K11</f>
        <v>15.759040000000002</v>
      </c>
    </row>
    <row r="40" spans="2:11" x14ac:dyDescent="0.25">
      <c r="B40" s="90" t="str">
        <f t="shared" si="12"/>
        <v>ATV (hr)</v>
      </c>
      <c r="C40" s="90">
        <f t="shared" si="13"/>
        <v>345</v>
      </c>
      <c r="D40" s="186">
        <f t="shared" si="10"/>
        <v>17.25</v>
      </c>
      <c r="E40" s="186">
        <f t="shared" ref="E40:E44" si="15">E26*K12</f>
        <v>51</v>
      </c>
      <c r="F40" s="186">
        <f t="shared" si="14"/>
        <v>1.2000000000000002</v>
      </c>
      <c r="G40" s="186">
        <f t="shared" si="11"/>
        <v>6</v>
      </c>
      <c r="H40" s="186">
        <f>H26*K12</f>
        <v>29.568000000000001</v>
      </c>
      <c r="I40" s="186">
        <f>I26*K12</f>
        <v>2.3654400000000004</v>
      </c>
    </row>
    <row r="41" spans="2:11" x14ac:dyDescent="0.25">
      <c r="B41" s="90" t="str">
        <f t="shared" si="12"/>
        <v>Pickup (mi)</v>
      </c>
      <c r="C41" s="90">
        <f t="shared" si="13"/>
        <v>1300</v>
      </c>
      <c r="D41" s="186">
        <f>D27*K13</f>
        <v>65</v>
      </c>
      <c r="E41" s="186">
        <f t="shared" si="15"/>
        <v>175</v>
      </c>
      <c r="F41" s="186">
        <f t="shared" si="14"/>
        <v>80</v>
      </c>
      <c r="G41" s="186">
        <f t="shared" si="11"/>
        <v>70.000000000000014</v>
      </c>
      <c r="H41" s="186">
        <f>H27*K13</f>
        <v>268.80000000000007</v>
      </c>
      <c r="I41" s="186">
        <f>I27*K13</f>
        <v>21.504000000000005</v>
      </c>
    </row>
    <row r="42" spans="2:11" x14ac:dyDescent="0.25">
      <c r="B42" s="90" t="str">
        <f t="shared" si="12"/>
        <v>Rotary mower, 8 ft.</v>
      </c>
      <c r="C42" s="90">
        <f t="shared" si="13"/>
        <v>172.5</v>
      </c>
      <c r="D42" s="186">
        <f t="shared" si="10"/>
        <v>8.625</v>
      </c>
      <c r="E42" s="186">
        <f t="shared" si="15"/>
        <v>25.5</v>
      </c>
      <c r="F42" s="186">
        <f t="shared" si="14"/>
        <v>0.60000000000000009</v>
      </c>
      <c r="G42" s="186">
        <f t="shared" si="11"/>
        <v>4.5</v>
      </c>
      <c r="H42" s="186">
        <f t="shared" ref="H42:H43" si="16">H28*K14</f>
        <v>0</v>
      </c>
      <c r="I42" s="186">
        <f t="shared" ref="I42:I43" si="17">I28*K14</f>
        <v>0</v>
      </c>
    </row>
    <row r="43" spans="2:11" x14ac:dyDescent="0.25">
      <c r="B43" s="90" t="str">
        <f t="shared" si="12"/>
        <v>Stock trailer, 16 ft.</v>
      </c>
      <c r="C43" s="90">
        <f t="shared" si="13"/>
        <v>2100</v>
      </c>
      <c r="D43" s="186">
        <f t="shared" si="10"/>
        <v>105</v>
      </c>
      <c r="E43" s="186">
        <f t="shared" si="15"/>
        <v>186.66666666666666</v>
      </c>
      <c r="F43" s="186">
        <f t="shared" si="14"/>
        <v>7</v>
      </c>
      <c r="G43" s="186">
        <f>G29*K15</f>
        <v>35</v>
      </c>
      <c r="H43" s="186">
        <f t="shared" si="16"/>
        <v>0</v>
      </c>
      <c r="I43" s="186">
        <f t="shared" si="17"/>
        <v>0</v>
      </c>
    </row>
    <row r="44" spans="2:11" x14ac:dyDescent="0.25">
      <c r="B44" s="137" t="str">
        <f t="shared" si="12"/>
        <v>Line to add optional equipment</v>
      </c>
      <c r="C44" s="137">
        <f t="shared" si="13"/>
        <v>0</v>
      </c>
      <c r="D44" s="190">
        <f t="shared" si="10"/>
        <v>0</v>
      </c>
      <c r="E44" s="190">
        <f t="shared" si="15"/>
        <v>0</v>
      </c>
      <c r="F44" s="190">
        <f t="shared" si="14"/>
        <v>0</v>
      </c>
      <c r="G44" s="190">
        <f t="shared" si="11"/>
        <v>0</v>
      </c>
      <c r="H44" s="190">
        <f>H30*$K$11</f>
        <v>0</v>
      </c>
      <c r="I44" s="190">
        <f>I30*$K$11</f>
        <v>0</v>
      </c>
    </row>
    <row r="45" spans="2:11" x14ac:dyDescent="0.25">
      <c r="B45" s="191" t="s">
        <v>33</v>
      </c>
      <c r="C45" s="192">
        <f t="shared" ref="C45:I45" si="18">SUM(C35:C43)</f>
        <v>13027.5</v>
      </c>
      <c r="D45" s="192">
        <f t="shared" si="18"/>
        <v>651.375</v>
      </c>
      <c r="E45" s="192">
        <f t="shared" si="18"/>
        <v>1056.1666666666667</v>
      </c>
      <c r="F45" s="192">
        <f t="shared" si="18"/>
        <v>175.6</v>
      </c>
      <c r="G45" s="192">
        <f t="shared" si="18"/>
        <v>361.5</v>
      </c>
      <c r="H45" s="192">
        <f t="shared" si="18"/>
        <v>495.35600000000011</v>
      </c>
      <c r="I45" s="192">
        <f t="shared" si="18"/>
        <v>39.62848000000001</v>
      </c>
    </row>
    <row r="46" spans="2:11" x14ac:dyDescent="0.25">
      <c r="B46" s="182" t="s">
        <v>47</v>
      </c>
      <c r="C46" s="193">
        <f>C45/C31</f>
        <v>0.36555594528235708</v>
      </c>
      <c r="D46" s="193">
        <f>D45/D31</f>
        <v>0.36555594528235708</v>
      </c>
      <c r="E46" s="193">
        <f t="shared" ref="E46:I46" si="19">E45/E31</f>
        <v>0.27156631669166492</v>
      </c>
      <c r="F46" s="193">
        <f t="shared" si="19"/>
        <v>0.18881720430107526</v>
      </c>
      <c r="G46" s="193">
        <f t="shared" si="19"/>
        <v>0.29212121212121211</v>
      </c>
      <c r="H46" s="193">
        <f t="shared" si="19"/>
        <v>0.12964787294740865</v>
      </c>
      <c r="I46" s="193">
        <f t="shared" si="19"/>
        <v>0.12964787294740865</v>
      </c>
    </row>
    <row r="47" spans="2:11" ht="23.25" customHeight="1" x14ac:dyDescent="0.25">
      <c r="B47" s="184"/>
      <c r="C47" s="194"/>
      <c r="G47" s="195"/>
    </row>
    <row r="48" spans="2:11" x14ac:dyDescent="0.25">
      <c r="B48" s="344" t="s">
        <v>334</v>
      </c>
      <c r="C48" s="341" t="s">
        <v>167</v>
      </c>
      <c r="D48" s="341" t="s">
        <v>34</v>
      </c>
      <c r="E48" s="341" t="s">
        <v>45</v>
      </c>
      <c r="F48" s="344"/>
      <c r="G48" s="347"/>
    </row>
    <row r="49" spans="2:7" x14ac:dyDescent="0.25">
      <c r="B49" s="348"/>
      <c r="C49" s="342" t="s">
        <v>168</v>
      </c>
      <c r="D49" s="342" t="s">
        <v>37</v>
      </c>
      <c r="E49" s="342" t="s">
        <v>36</v>
      </c>
      <c r="F49" s="342" t="s">
        <v>52</v>
      </c>
      <c r="G49" s="342" t="s">
        <v>35</v>
      </c>
    </row>
    <row r="50" spans="2:7" x14ac:dyDescent="0.25">
      <c r="B50" s="22" t="s">
        <v>169</v>
      </c>
      <c r="C50" s="88">
        <f>SUM(C35:C37)/'Flock Assumptions'!D8</f>
        <v>138</v>
      </c>
      <c r="D50" s="88">
        <f>SUM(D35:D37)/'Flock Assumptions'!D8</f>
        <v>6.9</v>
      </c>
      <c r="E50" s="88">
        <f>SUM(E35:E37)/'Flock Assumptions'!D8</f>
        <v>7.6</v>
      </c>
      <c r="F50" s="88">
        <f>SUM(F35:F37)/'Flock Assumptions'!D8</f>
        <v>1.6</v>
      </c>
      <c r="G50" s="196">
        <f>SUM(G35:G37)/'Flock Assumptions'!D8</f>
        <v>3.9</v>
      </c>
    </row>
    <row r="51" spans="2:7" x14ac:dyDescent="0.25">
      <c r="B51" s="22" t="s">
        <v>48</v>
      </c>
      <c r="C51" s="88">
        <f>SUM(C39:C44)/'Flock Assumptions'!D8</f>
        <v>122.55</v>
      </c>
      <c r="D51" s="88">
        <f>SUM(D39:D44)/'Flock Assumptions'!D8</f>
        <v>6.1275000000000004</v>
      </c>
      <c r="E51" s="88">
        <f>SUM(E39:E44)/'Flock Assumptions'!D8</f>
        <v>13.523333333333333</v>
      </c>
      <c r="F51" s="88">
        <f>SUM(F39:F44)/'Flock Assumptions'!D8</f>
        <v>1.9119999999999999</v>
      </c>
      <c r="G51" s="196">
        <f>SUM(G39:I44)/'Flock Assumptions'!D8</f>
        <v>14.029689600000001</v>
      </c>
    </row>
    <row r="52" spans="2:7" x14ac:dyDescent="0.25">
      <c r="B52" s="129" t="s">
        <v>76</v>
      </c>
      <c r="C52" s="197">
        <f>'Flock Assumptions'!I23</f>
        <v>266.09999999999997</v>
      </c>
      <c r="D52" s="197">
        <f>'Flock Assumptions'!I23*'Cost Assumptions'!D30</f>
        <v>13.305</v>
      </c>
      <c r="E52" s="197"/>
      <c r="F52" s="197"/>
      <c r="G52" s="197"/>
    </row>
    <row r="53" spans="2:7" x14ac:dyDescent="0.25">
      <c r="B53" s="182" t="s">
        <v>33</v>
      </c>
      <c r="C53" s="198">
        <f>SUM(C50:C52)</f>
        <v>526.65</v>
      </c>
      <c r="D53" s="158">
        <f>SUM(D50:D52)</f>
        <v>26.3325</v>
      </c>
      <c r="E53" s="158">
        <f>SUM(E50:E51)</f>
        <v>21.123333333333335</v>
      </c>
      <c r="F53" s="158">
        <f>SUM(F50:F51)</f>
        <v>3.512</v>
      </c>
      <c r="G53" s="198">
        <f>SUM(G50:G51)</f>
        <v>17.9296896</v>
      </c>
    </row>
    <row r="54" spans="2:7" ht="20.25" customHeight="1" x14ac:dyDescent="0.25"/>
    <row r="55" spans="2:7" x14ac:dyDescent="0.25">
      <c r="B55" s="344" t="s">
        <v>262</v>
      </c>
      <c r="C55" s="344"/>
      <c r="D55" s="341"/>
      <c r="E55" s="341"/>
      <c r="F55" s="341" t="s">
        <v>26</v>
      </c>
      <c r="G55" s="341" t="s">
        <v>83</v>
      </c>
    </row>
    <row r="56" spans="2:7" x14ac:dyDescent="0.25">
      <c r="B56" s="345"/>
      <c r="C56" s="342" t="s">
        <v>4</v>
      </c>
      <c r="D56" s="342" t="s">
        <v>170</v>
      </c>
      <c r="E56" s="342" t="s">
        <v>208</v>
      </c>
      <c r="F56" s="342" t="s">
        <v>171</v>
      </c>
      <c r="G56" s="342" t="s">
        <v>282</v>
      </c>
    </row>
    <row r="57" spans="2:7" x14ac:dyDescent="0.25">
      <c r="B57" s="22" t="s">
        <v>76</v>
      </c>
      <c r="C57" s="314" t="s">
        <v>316</v>
      </c>
      <c r="D57" s="22">
        <f>'Flock Assumptions'!I23</f>
        <v>266.09999999999997</v>
      </c>
      <c r="E57" s="186">
        <f>'Flock Assumptions'!D8</f>
        <v>50</v>
      </c>
      <c r="F57" s="192">
        <f>E57*D57</f>
        <v>13304.999999999998</v>
      </c>
      <c r="G57" s="192">
        <f>F57/'Flock Assumptions'!$D$8</f>
        <v>266.09999999999997</v>
      </c>
    </row>
    <row r="58" spans="2:7" x14ac:dyDescent="0.25">
      <c r="B58" s="22" t="str">
        <f>B50</f>
        <v>Buildings and facilities</v>
      </c>
      <c r="C58" s="314" t="s">
        <v>20</v>
      </c>
      <c r="F58" s="192">
        <f>(C7*K7)+(C8*K8)+(C9*K9)</f>
        <v>11500</v>
      </c>
      <c r="G58" s="192">
        <f>F58/'Flock Assumptions'!$D$8</f>
        <v>230</v>
      </c>
    </row>
    <row r="59" spans="2:7" x14ac:dyDescent="0.25">
      <c r="B59" s="129" t="s">
        <v>172</v>
      </c>
      <c r="C59" s="315" t="s">
        <v>20</v>
      </c>
      <c r="D59" s="129"/>
      <c r="E59" s="129"/>
      <c r="F59" s="199">
        <f>(C11*K11)+(C12*K12)+(C13*K13)+(C14*K14)+(C15*K15)+(C16*K16)</f>
        <v>9800</v>
      </c>
      <c r="G59" s="199">
        <f>F59/'Flock Assumptions'!$D$8</f>
        <v>196</v>
      </c>
    </row>
    <row r="60" spans="2:7" x14ac:dyDescent="0.25">
      <c r="B60" s="182" t="s">
        <v>33</v>
      </c>
      <c r="C60" s="64"/>
      <c r="D60" s="64"/>
      <c r="E60" s="64"/>
      <c r="F60" s="200">
        <f>SUM(F57:F59)</f>
        <v>34605</v>
      </c>
      <c r="G60" s="200">
        <f>SUM(G57:G59)</f>
        <v>692.09999999999991</v>
      </c>
    </row>
  </sheetData>
  <sheetProtection sheet="1" objects="1" scenarios="1"/>
  <pageMargins left="0.7" right="0.7" top="0.75" bottom="0.75" header="0.3" footer="0.3"/>
  <pageSetup scale="80" fitToHeight="2" orientation="landscape" r:id="rId1"/>
  <rowBreaks count="1" manualBreakCount="1">
    <brk id="32"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978D293550EE408BBA80E379FB1048" ma:contentTypeVersion="13" ma:contentTypeDescription="Create a new document." ma:contentTypeScope="" ma:versionID="b6dc6c33a991fc8ba694bd6d33f5767b">
  <xsd:schema xmlns:xsd="http://www.w3.org/2001/XMLSchema" xmlns:xs="http://www.w3.org/2001/XMLSchema" xmlns:p="http://schemas.microsoft.com/office/2006/metadata/properties" xmlns:ns3="4094fec7-eb86-4f33-885f-f4ec69534214" xmlns:ns4="73a3dab4-b00d-4a1f-a26d-4395bc4ed9d3" targetNamespace="http://schemas.microsoft.com/office/2006/metadata/properties" ma:root="true" ma:fieldsID="d71cfaa20d54ad5ce46cc94249c0277f" ns3:_="" ns4:_="">
    <xsd:import namespace="4094fec7-eb86-4f33-885f-f4ec69534214"/>
    <xsd:import namespace="73a3dab4-b00d-4a1f-a26d-4395bc4ed9d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94fec7-eb86-4f33-885f-f4ec69534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a3dab4-b00d-4a1f-a26d-4395bc4ed9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F4D95D-F5A8-4D59-B865-453570A2943D}">
  <ds:schemaRefs>
    <ds:schemaRef ds:uri="http://schemas.microsoft.com/sharepoint/v3/contenttype/forms"/>
  </ds:schemaRefs>
</ds:datastoreItem>
</file>

<file path=customXml/itemProps2.xml><?xml version="1.0" encoding="utf-8"?>
<ds:datastoreItem xmlns:ds="http://schemas.openxmlformats.org/officeDocument/2006/customXml" ds:itemID="{47D300DD-87C4-4380-89EE-B2EE7DFAA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94fec7-eb86-4f33-885f-f4ec69534214"/>
    <ds:schemaRef ds:uri="73a3dab4-b00d-4a1f-a26d-4395bc4ed9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3EED37-1A0B-4843-BFBB-D74C4C7ACC67}">
  <ds:schemaRefs>
    <ds:schemaRef ds:uri="http://schemas.microsoft.com/office/infopath/2007/PartnerControls"/>
    <ds:schemaRef ds:uri="http://www.w3.org/XML/1998/namespace"/>
    <ds:schemaRef ds:uri="http://purl.org/dc/dcmitype/"/>
    <ds:schemaRef ds:uri="http://purl.org/dc/elements/1.1/"/>
    <ds:schemaRef ds:uri="4094fec7-eb86-4f33-885f-f4ec69534214"/>
    <ds:schemaRef ds:uri="73a3dab4-b00d-4a1f-a26d-4395bc4ed9d3"/>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vt:lpstr>
      <vt:lpstr>Simple Budget</vt:lpstr>
      <vt:lpstr>Detailed Budget</vt:lpstr>
      <vt:lpstr>Cost Assumptions</vt:lpstr>
      <vt:lpstr>Flock Assumptions</vt:lpstr>
      <vt:lpstr>Feed Assumptions</vt:lpstr>
      <vt:lpstr>Health Assumptions</vt:lpstr>
      <vt:lpstr>Buildings &amp; Machinery</vt:lpstr>
      <vt:lpstr>'Buildings &amp; Machinery'!Print_Area</vt:lpstr>
      <vt:lpstr>'Cost Assumptions'!Print_Area</vt:lpstr>
      <vt:lpstr>'Detailed Budget'!Print_Area</vt:lpstr>
      <vt:lpstr>'Feed Assumptions'!Print_Area</vt:lpstr>
      <vt:lpstr>'Flock Assumptions'!Print_Area</vt:lpstr>
      <vt:lpstr>'Health Assumptions'!Print_Area</vt:lpstr>
      <vt:lpstr>'Simple Budget'!Print_Area</vt:lpstr>
    </vt:vector>
  </TitlesOfParts>
  <Company>University of Missouri-Columbia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Lutes, Jennifer</dc:creator>
  <cp:lastModifiedBy>Lutes, Jennifer</cp:lastModifiedBy>
  <cp:lastPrinted>2020-10-23T15:25:09Z</cp:lastPrinted>
  <dcterms:created xsi:type="dcterms:W3CDTF">2019-05-16T19:13:47Z</dcterms:created>
  <dcterms:modified xsi:type="dcterms:W3CDTF">2023-10-10T18:51:29Z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0x01010028978D293550EE408BBA80E379FB1048</vt:lpwstr>
  </property>
</Properties>
</file>