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mc:AlternateContent xmlns:mc="http://schemas.openxmlformats.org/markup-compatibility/2006">
    <mc:Choice Requires="x15">
      <x15ac:absPath xmlns:x15ac="http://schemas.microsoft.com/office/spreadsheetml/2010/11/ac" url="https://mailmissouri-my.sharepoint.com/personal/milhollinr_umsystem_edu/Documents/Dairy/NCR Irrigation 2013/Spreadsheet Models/2023 Models/"/>
    </mc:Choice>
  </mc:AlternateContent>
  <xr:revisionPtr revIDLastSave="135" documentId="8_{2D0E899B-B24C-499E-A343-4B2B288459F9}" xr6:coauthVersionLast="47" xr6:coauthVersionMax="47" xr10:uidLastSave="{A6F21402-C6A1-4FE4-83ED-9508368D0675}"/>
  <bookViews>
    <workbookView xWindow="-120" yWindow="-120" windowWidth="29040" windowHeight="15840" xr2:uid="{00000000-000D-0000-FFFF-FFFF00000000}"/>
  </bookViews>
  <sheets>
    <sheet name="Introduction" sheetId="5" r:id="rId1"/>
    <sheet name="Input" sheetId="6" r:id="rId2"/>
    <sheet name="Economic Summary" sheetId="1" r:id="rId3"/>
    <sheet name="Reference System Sizing" sheetId="3" r:id="rId4"/>
    <sheet name="Reference Water Source Planning" sheetId="7" r:id="rId5"/>
  </sheets>
  <definedNames>
    <definedName name="_xlnm.Print_Area" localSheetId="2">'Economic Summary'!$B$2:$E$27</definedName>
    <definedName name="_xlnm.Print_Area" localSheetId="1">Input!$B$2:$F$43</definedName>
    <definedName name="_xlnm.Print_Area" localSheetId="4">'Reference Water Source Planning'!$B$2:$F$23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6" l="1"/>
  <c r="C23" i="1"/>
  <c r="B23" i="7" l="1"/>
  <c r="C24" i="3"/>
  <c r="C26" i="3" s="1"/>
  <c r="C11" i="6"/>
  <c r="C5" i="1" s="1"/>
  <c r="D42" i="6"/>
  <c r="C51" i="6"/>
  <c r="C16" i="1"/>
  <c r="E16" i="1" s="1"/>
  <c r="C57" i="6"/>
  <c r="C58" i="6"/>
  <c r="C19" i="1" s="1"/>
  <c r="D19" i="1" s="1"/>
  <c r="G26" i="6"/>
  <c r="I26" i="6" s="1"/>
  <c r="G27" i="6"/>
  <c r="H27" i="6" s="1"/>
  <c r="G28" i="6"/>
  <c r="I28" i="6" s="1"/>
  <c r="G29" i="6"/>
  <c r="I29" i="6"/>
  <c r="G30" i="6"/>
  <c r="I30" i="6" s="1"/>
  <c r="G31" i="6"/>
  <c r="I31" i="6"/>
  <c r="G32" i="6"/>
  <c r="I32" i="6"/>
  <c r="C16" i="7"/>
  <c r="C20" i="7"/>
  <c r="C21" i="7"/>
  <c r="E21" i="7"/>
  <c r="C14" i="7"/>
  <c r="C9" i="7"/>
  <c r="E9" i="7" s="1"/>
  <c r="C10" i="7" s="1"/>
  <c r="B5" i="1"/>
  <c r="C4" i="1"/>
  <c r="B4" i="1"/>
  <c r="D54" i="6"/>
  <c r="B54" i="6"/>
  <c r="D47" i="6"/>
  <c r="B47" i="6"/>
  <c r="C33" i="6"/>
  <c r="H32" i="6"/>
  <c r="H29" i="6"/>
  <c r="H30" i="6"/>
  <c r="H31" i="6"/>
  <c r="E8" i="3"/>
  <c r="E10" i="3"/>
  <c r="E23" i="3"/>
  <c r="C16" i="3"/>
  <c r="C17" i="3" s="1"/>
  <c r="D16" i="1" l="1"/>
  <c r="C25" i="3"/>
  <c r="H28" i="6"/>
  <c r="G33" i="6"/>
  <c r="E17" i="3"/>
  <c r="C18" i="3"/>
  <c r="I27" i="6"/>
  <c r="C12" i="6"/>
  <c r="E19" i="1"/>
  <c r="E11" i="6"/>
  <c r="H26" i="6"/>
  <c r="H33" i="6" l="1"/>
  <c r="C9" i="1" s="1"/>
  <c r="E9" i="1" s="1"/>
  <c r="I33" i="6"/>
  <c r="C17" i="1"/>
  <c r="E15" i="6"/>
  <c r="C18" i="1"/>
  <c r="D9" i="1" l="1"/>
  <c r="F42" i="6"/>
  <c r="B43" i="6" s="1"/>
  <c r="B16" i="6"/>
  <c r="D18" i="1"/>
  <c r="E18" i="1"/>
  <c r="D17" i="1"/>
  <c r="C20" i="1"/>
  <c r="E17" i="1"/>
  <c r="C10" i="1"/>
  <c r="C12" i="1"/>
  <c r="C11" i="1"/>
  <c r="D20" i="1" l="1"/>
  <c r="E20" i="1"/>
  <c r="E11" i="1"/>
  <c r="D11" i="1"/>
  <c r="D12" i="1"/>
  <c r="E12" i="1"/>
  <c r="D10" i="1"/>
  <c r="E10" i="1"/>
  <c r="C13" i="1"/>
  <c r="C22" i="1" s="1"/>
  <c r="C25" i="1" s="1"/>
  <c r="C26" i="1" s="1"/>
  <c r="C27" i="1" s="1"/>
  <c r="D13" i="1" l="1"/>
  <c r="D22" i="1" s="1"/>
  <c r="E13" i="1"/>
  <c r="E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L. Horner</author>
    <author>Milhollin, Ryan K.</author>
  </authors>
  <commentList>
    <comment ref="C5" authorId="0" shapeId="0" xr:uid="{00000000-0006-0000-0100-000001000000}">
      <text>
        <r>
          <rPr>
            <b/>
            <u/>
            <sz val="12"/>
            <color indexed="81"/>
            <rFont val="Segoe UI"/>
            <family val="2"/>
          </rPr>
          <t>Guidelines:</t>
        </r>
        <r>
          <rPr>
            <sz val="12"/>
            <color indexed="81"/>
            <rFont val="Segoe UI"/>
            <family val="2"/>
          </rPr>
          <t xml:space="preserve">
Cool season perennial pasture: 450 to 700 pound response
Warm season pasture: 600 to 1,000 pound response</t>
        </r>
      </text>
    </comment>
    <comment ref="C49" authorId="1" shapeId="0" xr:uid="{00000000-0006-0000-0100-000002000000}">
      <text>
        <r>
          <rPr>
            <sz val="9"/>
            <color indexed="81"/>
            <rFont val="Palatino Linotype"/>
            <family val="1"/>
          </rPr>
          <t>If you need help in determining the ending pressure, use the "Pipe and Pump Sizing" worksheet</t>
        </r>
        <r>
          <rPr>
            <sz val="9"/>
            <color indexed="81"/>
            <rFont val="Tahoma"/>
            <family val="2"/>
          </rPr>
          <t xml:space="preserve">
</t>
        </r>
      </text>
    </comment>
  </commentList>
</comments>
</file>

<file path=xl/sharedStrings.xml><?xml version="1.0" encoding="utf-8"?>
<sst xmlns="http://schemas.openxmlformats.org/spreadsheetml/2006/main" count="243" uniqueCount="154">
  <si>
    <t>Operating Costs</t>
  </si>
  <si>
    <t>Total Capital Investment</t>
  </si>
  <si>
    <t>Purchase Price</t>
  </si>
  <si>
    <t>cows</t>
  </si>
  <si>
    <t>acres</t>
  </si>
  <si>
    <t>inches</t>
  </si>
  <si>
    <t>$/hour</t>
  </si>
  <si>
    <t>feet</t>
  </si>
  <si>
    <t>vertical feet</t>
  </si>
  <si>
    <t>Units</t>
  </si>
  <si>
    <t>Electricity</t>
  </si>
  <si>
    <t>energy source</t>
  </si>
  <si>
    <t>Diesel fuel</t>
  </si>
  <si>
    <t xml:space="preserve">  Herd size </t>
  </si>
  <si>
    <t xml:space="preserve">  Total acres irrigated in system </t>
  </si>
  <si>
    <t>cubic feet</t>
  </si>
  <si>
    <t>psi</t>
  </si>
  <si>
    <t>Find System Pipe Size</t>
  </si>
  <si>
    <t>Find Pump Size</t>
  </si>
  <si>
    <t xml:space="preserve">PVC Pipe and Pump Sizing Calculations </t>
  </si>
  <si>
    <t xml:space="preserve">  Intermediate storage capacity needed</t>
  </si>
  <si>
    <t xml:space="preserve">gallons </t>
  </si>
  <si>
    <t xml:space="preserve">  Surface water quantity needed if using impoundment </t>
  </si>
  <si>
    <t xml:space="preserve">Friction loss per 100 feet of pipe = </t>
  </si>
  <si>
    <t xml:space="preserve">  Expected dry matter response from irrigation </t>
  </si>
  <si>
    <t>Annual Cost</t>
  </si>
  <si>
    <t>Per Acre</t>
  </si>
  <si>
    <t>Per Cow</t>
  </si>
  <si>
    <t>Depreciation</t>
  </si>
  <si>
    <t>Total Annual Ownership Cost</t>
  </si>
  <si>
    <t>Value</t>
  </si>
  <si>
    <t>gallons/minute</t>
  </si>
  <si>
    <t xml:space="preserve">acre-feet </t>
  </si>
  <si>
    <t>acre-inches/year</t>
  </si>
  <si>
    <t>Ownership Costs</t>
  </si>
  <si>
    <t>Insurance</t>
  </si>
  <si>
    <t xml:space="preserve">Taxes </t>
  </si>
  <si>
    <t>Labor</t>
  </si>
  <si>
    <t>Total Annual Operating Cost</t>
  </si>
  <si>
    <t>percent</t>
  </si>
  <si>
    <t xml:space="preserve">  Insurance</t>
  </si>
  <si>
    <t xml:space="preserve">  Taxes</t>
  </si>
  <si>
    <t xml:space="preserve">  Labor cost per hour </t>
  </si>
  <si>
    <t>Total Annual Costs</t>
  </si>
  <si>
    <t xml:space="preserve">Cost per Dry Matter Ton Produced </t>
  </si>
  <si>
    <t>Cost Analysis</t>
  </si>
  <si>
    <t>Cost per Dry Matter Pound Produced</t>
  </si>
  <si>
    <t>Irrigation System Costs</t>
  </si>
  <si>
    <t>System flow rate</t>
  </si>
  <si>
    <t>Unit</t>
  </si>
  <si>
    <t xml:space="preserve">PVC pipe diameter </t>
  </si>
  <si>
    <t>System pipe length</t>
  </si>
  <si>
    <t xml:space="preserve">Starting pressure </t>
  </si>
  <si>
    <t>Starting elevation</t>
  </si>
  <si>
    <t>Ending pressure</t>
  </si>
  <si>
    <t>Ending elevation</t>
  </si>
  <si>
    <t xml:space="preserve">Friction loss </t>
  </si>
  <si>
    <t xml:space="preserve">Pump Head </t>
  </si>
  <si>
    <t>Pump Power</t>
  </si>
  <si>
    <t xml:space="preserve">System pipe length </t>
  </si>
  <si>
    <t>horsepower</t>
  </si>
  <si>
    <t xml:space="preserve">PVC Pipe Diameter  </t>
  </si>
  <si>
    <t xml:space="preserve">Pump head </t>
  </si>
  <si>
    <t>Total friction loss</t>
  </si>
  <si>
    <t>hours/day</t>
  </si>
  <si>
    <t xml:space="preserve">  Gallons per minute needed from water source</t>
  </si>
  <si>
    <t>days/week</t>
  </si>
  <si>
    <t>Salvage Value</t>
  </si>
  <si>
    <t>Repair</t>
  </si>
  <si>
    <t>Interest</t>
  </si>
  <si>
    <t>tons/year</t>
  </si>
  <si>
    <t>Irrigation System Description</t>
  </si>
  <si>
    <t xml:space="preserve">  Grazing utilization rate</t>
  </si>
  <si>
    <t>Cost Assumptions</t>
  </si>
  <si>
    <t xml:space="preserve">Labor </t>
  </si>
  <si>
    <t>Cost per hour</t>
  </si>
  <si>
    <t xml:space="preserve"> Cost per hour</t>
  </si>
  <si>
    <t xml:space="preserve">  Energy source</t>
  </si>
  <si>
    <t xml:space="preserve">Power Unit at Water Source </t>
  </si>
  <si>
    <t>percent/year</t>
  </si>
  <si>
    <t xml:space="preserve">Developed by </t>
  </si>
  <si>
    <t>Joe Horner, Joe Zulovich, Ray Massey and Ryan Milhollin</t>
  </si>
  <si>
    <t>This material is based upon work supported by USDA/NIFA under Award Number 2012-49200-20032.</t>
  </si>
  <si>
    <t xml:space="preserve">  Interest </t>
  </si>
  <si>
    <t xml:space="preserve">  Lift</t>
  </si>
  <si>
    <t>dollars/ton</t>
  </si>
  <si>
    <t>dollars/pound</t>
  </si>
  <si>
    <t>Small Scale Forage Irrigation System Cost Analyzer</t>
  </si>
  <si>
    <t>This worksheet is for educational purposes only and the user assumes all risks associated with its use.</t>
  </si>
  <si>
    <t xml:space="preserve">Cost per Dry Matter Pound of Grazed Intake  </t>
  </si>
  <si>
    <t>Yes</t>
  </si>
  <si>
    <t>No</t>
  </si>
  <si>
    <t>gallons/year</t>
  </si>
  <si>
    <t xml:space="preserve">  Time willing to pump from water source to storage</t>
  </si>
  <si>
    <t xml:space="preserve">  Water applied per year</t>
  </si>
  <si>
    <t>Water Source Management and Planning</t>
  </si>
  <si>
    <t>acre-inches/week</t>
  </si>
  <si>
    <t>weeks/year</t>
  </si>
  <si>
    <t xml:space="preserve">  Weeks of irrigation</t>
  </si>
  <si>
    <t xml:space="preserve">  Water applied per week</t>
  </si>
  <si>
    <t xml:space="preserve">  Pumping rate needed for irrigation system without storage</t>
  </si>
  <si>
    <t>Please note this module is not linked to the other worksheets and represents a seperate planning tool.</t>
  </si>
  <si>
    <t>inches/acre irrigated/year</t>
  </si>
  <si>
    <t xml:space="preserve">  Theorical time willing to irrigate</t>
  </si>
  <si>
    <t>If actual pumping time is greater than what you are willing to do, redesign/reselect your system</t>
  </si>
  <si>
    <t>Forage Response</t>
  </si>
  <si>
    <t>Grazing System Description</t>
  </si>
  <si>
    <t>lbs. D.M./acre-inch water</t>
  </si>
  <si>
    <t xml:space="preserve">  Operating pressure (ending pressure)</t>
  </si>
  <si>
    <t xml:space="preserve">  Additional dry matter expected from irrigation</t>
  </si>
  <si>
    <t xml:space="preserve">  Actual pumping time given actual pumping rate</t>
  </si>
  <si>
    <t xml:space="preserve">  Actual pumping rate available from irrigation system</t>
  </si>
  <si>
    <t xml:space="preserve">  Available water supply withdrawal rate</t>
  </si>
  <si>
    <t xml:space="preserve">  If needed, are you willing to pump water to a intermediate storage?</t>
  </si>
  <si>
    <t>You need intermediate storage to accommodate your planned system</t>
  </si>
  <si>
    <t>You need to redesign/reselect your planned system</t>
  </si>
  <si>
    <t>pressure/square inch (psi)</t>
  </si>
  <si>
    <t>gallons/minute (gpm)</t>
  </si>
  <si>
    <t xml:space="preserve">  Lift </t>
  </si>
  <si>
    <t xml:space="preserve">Power Unit at Intermediate Storage </t>
  </si>
  <si>
    <t>Percent</t>
  </si>
  <si>
    <t>Years</t>
  </si>
  <si>
    <t>Useful Life</t>
  </si>
  <si>
    <t xml:space="preserve">Salvage Value </t>
  </si>
  <si>
    <t>Dollars</t>
  </si>
  <si>
    <t>Avg. Investment</t>
  </si>
  <si>
    <t>Capital Investments</t>
  </si>
  <si>
    <t>Water Pumping Information</t>
  </si>
  <si>
    <t xml:space="preserve">  Number of irrigations</t>
  </si>
  <si>
    <t>irrigations/year</t>
  </si>
  <si>
    <t xml:space="preserve">  Water applied per irrigation</t>
  </si>
  <si>
    <t>acre-inches/irrigation</t>
  </si>
  <si>
    <t xml:space="preserve">  Pumping rate to irrigation equipment</t>
  </si>
  <si>
    <t xml:space="preserve">  Pumping rate to intermediate storage</t>
  </si>
  <si>
    <t>Power - Water Source to Intermediate Storage</t>
  </si>
  <si>
    <t>Power - Source/Intermediate Storage to Field</t>
  </si>
  <si>
    <t>Water Source Planning</t>
  </si>
  <si>
    <t>horsepower (hp)</t>
  </si>
  <si>
    <t xml:space="preserve">  Pump power</t>
  </si>
  <si>
    <t>Pod-line system (12 pod) with tubing</t>
  </si>
  <si>
    <t>Source pump and power unit</t>
  </si>
  <si>
    <t>Distribution pipes, connections and intake</t>
  </si>
  <si>
    <t xml:space="preserve">  Labor hours per irrigation (setup and sprinkler moves)</t>
  </si>
  <si>
    <t xml:space="preserve">   If needed, are you willing to pump water to a intermediate storage?</t>
  </si>
  <si>
    <t>Increase pump head to compensate for ending pressure</t>
  </si>
  <si>
    <t>Value of additional forage</t>
  </si>
  <si>
    <t>$/ton</t>
  </si>
  <si>
    <t>Annual Return on Investment</t>
  </si>
  <si>
    <t>Operating pressure</t>
  </si>
  <si>
    <t>University of Missouri Extension</t>
  </si>
  <si>
    <t>Updated: 02/2023</t>
  </si>
  <si>
    <t xml:space="preserve">The Small Scale Forage Irrigation System Cost Analyzer is intended to be used by livestock producers to estimate the cost of using small scale irrigation systems for forage systems. Popular examples of small-scale systems would include small center pivots, traveling irrigators, traveling guns and pod-line irrigation. The calculator allows the user to plan a irrigation system based on time and water needs, estimate an irrigated forage response, and detail irrigation cost information.  The goal of this spreadsheet is for producers to make an informed decision of whether an irrigation system is a practical risk mitigation tool for their farm. </t>
  </si>
  <si>
    <t xml:space="preserve">Start by going to the sheet titled "Input." Enter the appropriate numbers in the grey shaded cells. "Economics" prepare an economic summary of the irrigation system. "Pipe and Pump Sizing" provides a basic calculator for help in determining the appropriate PVC pipe and pump sizing for an irrigation system. "Water Source Planning" provides a basic calculator for help in determining water quantity needs, timing, capabilities of existing sources, and sizing for intermediate storage if needed. </t>
  </si>
  <si>
    <t xml:space="preserve">  Operating pressure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</si>
</sst>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quot;$&quot;#,##0.00"/>
    <numFmt numFmtId="168" formatCode="&quot;$&quot;#,##0"/>
    <numFmt numFmtId="169" formatCode="#,##0.0"/>
  </numFmts>
  <fonts count="50" x14ac:knownFonts="1">
    <font>
      <sz val="11"/>
      <color theme="1"/>
      <name val="Calibri"/>
      <family val="2"/>
      <scheme val="minor"/>
    </font>
    <font>
      <sz val="11"/>
      <color theme="1"/>
      <name val="Calibri"/>
      <family val="2"/>
      <scheme val="minor"/>
    </font>
    <font>
      <b/>
      <sz val="12"/>
      <color theme="1"/>
      <name val="Palatino Linotype"/>
      <family val="1"/>
    </font>
    <font>
      <sz val="12"/>
      <color theme="1"/>
      <name val="Palatino Linotype"/>
      <family val="1"/>
    </font>
    <font>
      <sz val="11"/>
      <color theme="1"/>
      <name val="Palatino Linotype"/>
      <family val="1"/>
    </font>
    <font>
      <b/>
      <sz val="12"/>
      <color theme="0"/>
      <name val="Palatino Linotype"/>
      <family val="1"/>
    </font>
    <font>
      <sz val="10"/>
      <color theme="1"/>
      <name val="Palatino Linotype"/>
      <family val="1"/>
    </font>
    <font>
      <sz val="11"/>
      <name val="Palatino Linotype"/>
      <family val="1"/>
    </font>
    <font>
      <sz val="12"/>
      <name val="Palatino Linotype"/>
      <family val="1"/>
    </font>
    <font>
      <b/>
      <sz val="12"/>
      <name val="Palatino Linotype"/>
      <family val="1"/>
    </font>
    <font>
      <sz val="11"/>
      <color theme="0"/>
      <name val="Arial"/>
      <family val="2"/>
    </font>
    <font>
      <sz val="11"/>
      <color theme="1"/>
      <name val="Arial"/>
      <family val="2"/>
    </font>
    <font>
      <sz val="11"/>
      <color theme="0"/>
      <name val="Palatino Linotype"/>
      <family val="1"/>
    </font>
    <font>
      <sz val="10"/>
      <name val="Arial"/>
      <family val="2"/>
    </font>
    <font>
      <b/>
      <sz val="16"/>
      <color theme="0"/>
      <name val="Palatino Linotype"/>
      <family val="1"/>
    </font>
    <font>
      <sz val="9"/>
      <color indexed="81"/>
      <name val="Palatino Linotype"/>
      <family val="1"/>
    </font>
    <font>
      <sz val="11"/>
      <color rgb="FFFF0000"/>
      <name val="Palatino Linotype"/>
      <family val="1"/>
    </font>
    <font>
      <sz val="12"/>
      <color theme="0"/>
      <name val="Palatino Linotype"/>
      <family val="1"/>
    </font>
    <font>
      <sz val="1"/>
      <color theme="1"/>
      <name val="Palatino Linotype"/>
      <family val="1"/>
    </font>
    <font>
      <sz val="1"/>
      <color rgb="FFFF0000"/>
      <name val="Palatino Linotype"/>
      <family val="1"/>
    </font>
    <font>
      <sz val="9"/>
      <color indexed="81"/>
      <name val="Tahoma"/>
      <family val="2"/>
    </font>
    <font>
      <sz val="10"/>
      <color theme="0"/>
      <name val="Palatino Linotype"/>
      <family val="1"/>
    </font>
    <font>
      <sz val="10"/>
      <color theme="1"/>
      <name val="Segoe UI"/>
      <family val="2"/>
    </font>
    <font>
      <b/>
      <sz val="16"/>
      <color rgb="FFF1B82D"/>
      <name val="Palatino Linotype"/>
      <family val="1"/>
    </font>
    <font>
      <sz val="11"/>
      <color theme="1"/>
      <name val="Segoe UI"/>
      <family val="2"/>
    </font>
    <font>
      <b/>
      <sz val="16"/>
      <color rgb="FFF1B82D"/>
      <name val="Segoe UI"/>
      <family val="2"/>
    </font>
    <font>
      <sz val="12"/>
      <color theme="1"/>
      <name val="Segoe UI"/>
      <family val="2"/>
    </font>
    <font>
      <b/>
      <sz val="12"/>
      <color theme="0"/>
      <name val="Segoe UI"/>
      <family val="2"/>
    </font>
    <font>
      <sz val="11"/>
      <color theme="0"/>
      <name val="Segoe UI"/>
      <family val="2"/>
    </font>
    <font>
      <sz val="11"/>
      <color rgb="FFFF0000"/>
      <name val="Segoe UI"/>
      <family val="2"/>
    </font>
    <font>
      <i/>
      <sz val="12"/>
      <color theme="1"/>
      <name val="Segoe UI"/>
      <family val="2"/>
    </font>
    <font>
      <i/>
      <sz val="10"/>
      <color theme="1"/>
      <name val="Segoe UI"/>
      <family val="2"/>
    </font>
    <font>
      <sz val="1"/>
      <color theme="1"/>
      <name val="Segoe UI"/>
      <family val="2"/>
    </font>
    <font>
      <sz val="11"/>
      <name val="Segoe UI"/>
      <family val="2"/>
    </font>
    <font>
      <b/>
      <sz val="10"/>
      <color theme="0"/>
      <name val="Segoe UI"/>
      <family val="2"/>
    </font>
    <font>
      <sz val="12"/>
      <name val="Segoe UI"/>
      <family val="2"/>
    </font>
    <font>
      <b/>
      <sz val="12"/>
      <color theme="1"/>
      <name val="Segoe UI"/>
      <family val="2"/>
    </font>
    <font>
      <i/>
      <u/>
      <sz val="12"/>
      <color theme="1"/>
      <name val="Segoe UI"/>
      <family val="2"/>
    </font>
    <font>
      <b/>
      <u/>
      <sz val="12"/>
      <name val="Segoe UI"/>
      <family val="2"/>
    </font>
    <font>
      <i/>
      <sz val="11"/>
      <color theme="1"/>
      <name val="Segoe UI"/>
      <family val="2"/>
    </font>
    <font>
      <sz val="10"/>
      <name val="Segoe UI"/>
      <family val="2"/>
    </font>
    <font>
      <sz val="9"/>
      <name val="Segoe UI"/>
      <family val="2"/>
    </font>
    <font>
      <b/>
      <sz val="10"/>
      <name val="Segoe UI"/>
      <family val="2"/>
    </font>
    <font>
      <sz val="5"/>
      <name val="Segoe UI"/>
      <family val="2"/>
    </font>
    <font>
      <sz val="10"/>
      <color theme="3" tint="-0.499984740745262"/>
      <name val="Segoe UI"/>
      <family val="2"/>
    </font>
    <font>
      <b/>
      <u/>
      <sz val="12"/>
      <color indexed="81"/>
      <name val="Segoe UI"/>
      <family val="2"/>
    </font>
    <font>
      <sz val="12"/>
      <color indexed="81"/>
      <name val="Segoe UI"/>
      <family val="2"/>
    </font>
    <font>
      <b/>
      <sz val="16"/>
      <color theme="0"/>
      <name val="Segoe UI"/>
      <family val="2"/>
    </font>
    <font>
      <b/>
      <u/>
      <sz val="11"/>
      <color theme="1"/>
      <name val="Segoe UI"/>
      <family val="2"/>
    </font>
    <font>
      <b/>
      <sz val="11"/>
      <color theme="1"/>
      <name val="Segoe U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1"/>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0" fontId="13" fillId="0" borderId="0"/>
    <xf numFmtId="9" fontId="1" fillId="0" borderId="0" applyFont="0" applyFill="0" applyBorder="0" applyAlignment="0" applyProtection="0"/>
  </cellStyleXfs>
  <cellXfs count="175">
    <xf numFmtId="0" fontId="0" fillId="0" borderId="0" xfId="0"/>
    <xf numFmtId="0" fontId="3" fillId="0" borderId="0" xfId="0" applyFont="1" applyProtection="1"/>
    <xf numFmtId="0" fontId="4" fillId="0" borderId="0" xfId="0" applyFont="1" applyProtection="1"/>
    <xf numFmtId="0" fontId="4" fillId="0" borderId="0" xfId="0" applyFont="1" applyFill="1" applyBorder="1" applyProtection="1"/>
    <xf numFmtId="0" fontId="4" fillId="0" borderId="0" xfId="0" applyFont="1" applyBorder="1" applyProtection="1"/>
    <xf numFmtId="0" fontId="2" fillId="0" borderId="0" xfId="0" applyFont="1" applyBorder="1" applyProtection="1"/>
    <xf numFmtId="0" fontId="7" fillId="0" borderId="0" xfId="0" applyFont="1" applyFill="1" applyProtection="1"/>
    <xf numFmtId="0" fontId="7" fillId="0" borderId="0" xfId="0" applyFont="1" applyFill="1" applyBorder="1" applyProtection="1"/>
    <xf numFmtId="44" fontId="7" fillId="0" borderId="0" xfId="0" applyNumberFormat="1" applyFont="1" applyFill="1" applyBorder="1" applyProtection="1"/>
    <xf numFmtId="167" fontId="8" fillId="0" borderId="0" xfId="0" applyNumberFormat="1" applyFont="1" applyFill="1" applyProtection="1"/>
    <xf numFmtId="0" fontId="4" fillId="0" borderId="0" xfId="0" applyFont="1" applyFill="1" applyProtection="1"/>
    <xf numFmtId="0" fontId="3" fillId="0" borderId="0" xfId="0" applyFont="1" applyFill="1" applyBorder="1" applyProtection="1"/>
    <xf numFmtId="0" fontId="6" fillId="0" borderId="0" xfId="0" applyFont="1" applyFill="1" applyBorder="1" applyProtection="1"/>
    <xf numFmtId="3" fontId="3" fillId="0" borderId="0" xfId="0" quotePrefix="1" applyNumberFormat="1" applyFont="1" applyFill="1" applyBorder="1" applyAlignment="1" applyProtection="1"/>
    <xf numFmtId="3" fontId="3" fillId="0" borderId="0" xfId="0" applyNumberFormat="1" applyFont="1" applyFill="1" applyBorder="1" applyAlignment="1" applyProtection="1"/>
    <xf numFmtId="3" fontId="3" fillId="0" borderId="0" xfId="2" applyNumberFormat="1" applyFont="1" applyFill="1" applyBorder="1" applyAlignment="1" applyProtection="1">
      <alignment horizontal="right"/>
    </xf>
    <xf numFmtId="3" fontId="3" fillId="0" borderId="0" xfId="2" applyNumberFormat="1" applyFont="1" applyFill="1" applyBorder="1" applyAlignment="1" applyProtection="1"/>
    <xf numFmtId="0" fontId="3" fillId="3" borderId="0" xfId="0" applyFont="1" applyFill="1" applyBorder="1" applyProtection="1">
      <protection locked="0"/>
    </xf>
    <xf numFmtId="1" fontId="3" fillId="3" borderId="0" xfId="0" applyNumberFormat="1" applyFont="1" applyFill="1" applyBorder="1" applyProtection="1">
      <protection locked="0"/>
    </xf>
    <xf numFmtId="0" fontId="6" fillId="0" borderId="0" xfId="0" applyFont="1" applyBorder="1" applyProtection="1"/>
    <xf numFmtId="0" fontId="3" fillId="0" borderId="0" xfId="0" applyFont="1" applyBorder="1" applyProtection="1"/>
    <xf numFmtId="166" fontId="3" fillId="0" borderId="0" xfId="0" applyNumberFormat="1" applyFont="1" applyBorder="1" applyProtection="1"/>
    <xf numFmtId="3" fontId="3" fillId="3" borderId="0" xfId="0" applyNumberFormat="1" applyFont="1" applyFill="1" applyBorder="1" applyProtection="1">
      <protection locked="0"/>
    </xf>
    <xf numFmtId="2" fontId="3" fillId="0" borderId="0" xfId="0" applyNumberFormat="1" applyFont="1" applyBorder="1" applyProtection="1"/>
    <xf numFmtId="0" fontId="10" fillId="0" borderId="0" xfId="0" applyFont="1" applyProtection="1"/>
    <xf numFmtId="0" fontId="11" fillId="0" borderId="0" xfId="0" applyFont="1" applyProtection="1"/>
    <xf numFmtId="0" fontId="12" fillId="0" borderId="0" xfId="0" applyFont="1" applyFill="1" applyProtection="1"/>
    <xf numFmtId="0" fontId="3" fillId="0" borderId="0" xfId="0" applyFont="1" applyFill="1" applyBorder="1" applyProtection="1">
      <protection locked="0"/>
    </xf>
    <xf numFmtId="0" fontId="14" fillId="0" borderId="0" xfId="0" quotePrefix="1" applyFont="1" applyFill="1" applyBorder="1" applyAlignment="1">
      <alignment horizontal="center"/>
    </xf>
    <xf numFmtId="166" fontId="3" fillId="0" borderId="0" xfId="0" applyNumberFormat="1" applyFont="1" applyFill="1" applyBorder="1" applyProtection="1">
      <protection locked="0"/>
    </xf>
    <xf numFmtId="0" fontId="9" fillId="0" borderId="0" xfId="0" applyFont="1" applyFill="1" applyBorder="1" applyProtection="1"/>
    <xf numFmtId="0" fontId="16" fillId="0" borderId="0" xfId="0" applyFont="1" applyFill="1" applyProtection="1"/>
    <xf numFmtId="0" fontId="18" fillId="0" borderId="0" xfId="0" applyFont="1" applyFill="1" applyProtection="1"/>
    <xf numFmtId="0" fontId="18" fillId="0" borderId="0" xfId="0" applyFont="1" applyProtection="1"/>
    <xf numFmtId="0" fontId="18" fillId="0" borderId="0" xfId="0" applyFont="1" applyFill="1" applyBorder="1" applyProtection="1"/>
    <xf numFmtId="0" fontId="19" fillId="0" borderId="0" xfId="0" applyFont="1" applyFill="1" applyProtection="1"/>
    <xf numFmtId="0" fontId="6" fillId="0" borderId="0" xfId="0" quotePrefix="1" applyFont="1" applyFill="1" applyBorder="1" applyAlignment="1">
      <alignment horizontal="left"/>
    </xf>
    <xf numFmtId="0" fontId="17" fillId="0" borderId="0" xfId="0" applyFont="1" applyFill="1" applyProtection="1"/>
    <xf numFmtId="0" fontId="12" fillId="0" borderId="0" xfId="0" applyFont="1" applyProtection="1"/>
    <xf numFmtId="0" fontId="21" fillId="0" borderId="0" xfId="0" applyFont="1" applyProtection="1"/>
    <xf numFmtId="169" fontId="3" fillId="0" borderId="0" xfId="0" quotePrefix="1" applyNumberFormat="1" applyFont="1" applyFill="1" applyBorder="1" applyAlignment="1" applyProtection="1"/>
    <xf numFmtId="166" fontId="3" fillId="3" borderId="0" xfId="0" applyNumberFormat="1" applyFont="1" applyFill="1" applyBorder="1" applyProtection="1">
      <protection locked="0"/>
    </xf>
    <xf numFmtId="169" fontId="3" fillId="0" borderId="0" xfId="2" applyNumberFormat="1" applyFont="1" applyFill="1" applyBorder="1" applyAlignment="1" applyProtection="1"/>
    <xf numFmtId="3" fontId="3" fillId="0" borderId="0" xfId="0" applyNumberFormat="1" applyFont="1" applyFill="1" applyBorder="1" applyProtection="1">
      <protection locked="0"/>
    </xf>
    <xf numFmtId="169" fontId="3" fillId="0" borderId="0" xfId="0" applyNumberFormat="1" applyFont="1" applyBorder="1" applyProtection="1"/>
    <xf numFmtId="0" fontId="17" fillId="0" borderId="0" xfId="0" applyFont="1" applyProtection="1"/>
    <xf numFmtId="0" fontId="12" fillId="0" borderId="0" xfId="0" applyFont="1"/>
    <xf numFmtId="0" fontId="23" fillId="5" borderId="1" xfId="0" quotePrefix="1" applyFont="1" applyFill="1" applyBorder="1" applyAlignment="1">
      <alignment horizontal="center"/>
    </xf>
    <xf numFmtId="0" fontId="23" fillId="5" borderId="2" xfId="0" quotePrefix="1" applyFont="1" applyFill="1" applyBorder="1" applyAlignment="1">
      <alignment horizontal="center"/>
    </xf>
    <xf numFmtId="0" fontId="23" fillId="5" borderId="3" xfId="0" quotePrefix="1" applyFont="1" applyFill="1" applyBorder="1" applyAlignment="1">
      <alignment horizontal="center"/>
    </xf>
    <xf numFmtId="0" fontId="5" fillId="5" borderId="1" xfId="0" applyFont="1" applyFill="1" applyBorder="1" applyAlignment="1" applyProtection="1">
      <alignment horizontal="left"/>
    </xf>
    <xf numFmtId="0" fontId="5" fillId="5" borderId="2" xfId="0" applyFont="1" applyFill="1" applyBorder="1" applyAlignment="1" applyProtection="1">
      <alignment horizontal="center"/>
    </xf>
    <xf numFmtId="0" fontId="5" fillId="5" borderId="3" xfId="0" applyFont="1" applyFill="1" applyBorder="1" applyAlignment="1" applyProtection="1">
      <alignment horizontal="center"/>
    </xf>
    <xf numFmtId="0" fontId="24" fillId="0" borderId="0" xfId="0" applyFont="1" applyProtection="1"/>
    <xf numFmtId="0" fontId="24" fillId="0" borderId="0" xfId="0" applyFont="1" applyFill="1" applyProtection="1"/>
    <xf numFmtId="0" fontId="25" fillId="5" borderId="1" xfId="0" quotePrefix="1" applyFont="1" applyFill="1" applyBorder="1" applyAlignment="1">
      <alignment horizontal="center"/>
    </xf>
    <xf numFmtId="0" fontId="25" fillId="5" borderId="2" xfId="0" quotePrefix="1" applyFont="1" applyFill="1" applyBorder="1" applyAlignment="1">
      <alignment horizontal="center"/>
    </xf>
    <xf numFmtId="0" fontId="26" fillId="0" borderId="0" xfId="0" applyFont="1" applyFill="1" applyBorder="1" applyProtection="1"/>
    <xf numFmtId="0" fontId="24" fillId="0" borderId="0" xfId="0" applyFont="1" applyFill="1" applyBorder="1" applyProtection="1"/>
    <xf numFmtId="0" fontId="27" fillId="5" borderId="1" xfId="0" applyFont="1" applyFill="1" applyBorder="1" applyAlignment="1" applyProtection="1">
      <alignment horizontal="left"/>
    </xf>
    <xf numFmtId="0" fontId="27" fillId="5" borderId="2" xfId="0" applyFont="1" applyFill="1" applyBorder="1" applyAlignment="1" applyProtection="1">
      <alignment horizontal="center"/>
    </xf>
    <xf numFmtId="0" fontId="24" fillId="5" borderId="2" xfId="0" applyFont="1" applyFill="1" applyBorder="1" applyProtection="1"/>
    <xf numFmtId="0" fontId="24" fillId="5" borderId="3" xfId="0" applyFont="1" applyFill="1" applyBorder="1" applyProtection="1"/>
    <xf numFmtId="0" fontId="26" fillId="2" borderId="0" xfId="0" applyFont="1" applyFill="1" applyBorder="1" applyProtection="1"/>
    <xf numFmtId="0" fontId="26" fillId="3" borderId="0" xfId="0" applyFont="1" applyFill="1" applyBorder="1" applyProtection="1">
      <protection locked="0"/>
    </xf>
    <xf numFmtId="0" fontId="22" fillId="0" borderId="0" xfId="0" applyFont="1" applyFill="1" applyBorder="1" applyProtection="1"/>
    <xf numFmtId="0" fontId="27" fillId="5" borderId="3" xfId="0" applyFont="1" applyFill="1" applyBorder="1" applyAlignment="1" applyProtection="1">
      <alignment horizontal="center"/>
    </xf>
    <xf numFmtId="1" fontId="26" fillId="3" borderId="0" xfId="0" applyNumberFormat="1" applyFont="1" applyFill="1" applyBorder="1" applyProtection="1">
      <protection locked="0"/>
    </xf>
    <xf numFmtId="0" fontId="28" fillId="0" borderId="0" xfId="0" applyFont="1" applyProtection="1"/>
    <xf numFmtId="2" fontId="26" fillId="3" borderId="0" xfId="0" applyNumberFormat="1" applyFont="1" applyFill="1" applyBorder="1" applyProtection="1">
      <protection locked="0"/>
    </xf>
    <xf numFmtId="166" fontId="26" fillId="0" borderId="0" xfId="0" applyNumberFormat="1" applyFont="1" applyFill="1" applyBorder="1" applyProtection="1">
      <protection locked="0"/>
    </xf>
    <xf numFmtId="3" fontId="26" fillId="0" borderId="0" xfId="2" applyNumberFormat="1" applyFont="1" applyFill="1" applyBorder="1" applyAlignment="1" applyProtection="1"/>
    <xf numFmtId="0" fontId="26" fillId="2" borderId="0" xfId="0" applyFont="1" applyFill="1" applyBorder="1" applyAlignment="1" applyProtection="1">
      <alignment horizontal="left"/>
    </xf>
    <xf numFmtId="169" fontId="26" fillId="0" borderId="0" xfId="2" applyNumberFormat="1" applyFont="1" applyFill="1" applyBorder="1" applyAlignment="1" applyProtection="1"/>
    <xf numFmtId="0" fontId="26" fillId="0" borderId="0" xfId="0" applyFont="1" applyFill="1" applyBorder="1" applyProtection="1">
      <protection locked="0"/>
    </xf>
    <xf numFmtId="3" fontId="26" fillId="3" borderId="0" xfId="0" quotePrefix="1" applyNumberFormat="1" applyFont="1" applyFill="1" applyBorder="1" applyAlignment="1" applyProtection="1"/>
    <xf numFmtId="166" fontId="28" fillId="0" borderId="0" xfId="0" applyNumberFormat="1" applyFont="1" applyProtection="1"/>
    <xf numFmtId="0" fontId="29" fillId="0" borderId="0" xfId="0" applyFont="1" applyFill="1" applyProtection="1"/>
    <xf numFmtId="0" fontId="30" fillId="0" borderId="0" xfId="0" applyFont="1" applyFill="1" applyBorder="1" applyProtection="1"/>
    <xf numFmtId="3" fontId="30" fillId="2" borderId="0" xfId="0" quotePrefix="1" applyNumberFormat="1" applyFont="1" applyFill="1" applyBorder="1" applyAlignment="1" applyProtection="1"/>
    <xf numFmtId="0" fontId="31" fillId="0" borderId="0" xfId="0" applyFont="1" applyFill="1" applyBorder="1" applyProtection="1"/>
    <xf numFmtId="166" fontId="29" fillId="0" borderId="0" xfId="0" applyNumberFormat="1" applyFont="1" applyProtection="1"/>
    <xf numFmtId="3" fontId="26" fillId="0" borderId="0" xfId="2" applyNumberFormat="1" applyFont="1" applyFill="1" applyBorder="1" applyAlignment="1" applyProtection="1">
      <alignment horizontal="right"/>
    </xf>
    <xf numFmtId="0" fontId="28" fillId="0" borderId="0" xfId="0" applyFont="1" applyFill="1" applyProtection="1"/>
    <xf numFmtId="0" fontId="32" fillId="0" borderId="0" xfId="0" applyFont="1" applyFill="1" applyProtection="1"/>
    <xf numFmtId="0" fontId="32" fillId="0" borderId="0" xfId="0" applyFont="1" applyFill="1" applyBorder="1" applyProtection="1"/>
    <xf numFmtId="0" fontId="32" fillId="0" borderId="0" xfId="0" applyFont="1" applyProtection="1"/>
    <xf numFmtId="0" fontId="24" fillId="0" borderId="0" xfId="0" applyFont="1" applyBorder="1" applyProtection="1"/>
    <xf numFmtId="9" fontId="26" fillId="3" borderId="0" xfId="0" applyNumberFormat="1" applyFont="1" applyFill="1" applyBorder="1" applyProtection="1">
      <protection locked="0"/>
    </xf>
    <xf numFmtId="0" fontId="27" fillId="5" borderId="5" xfId="0" applyFont="1" applyFill="1" applyBorder="1" applyAlignment="1" applyProtection="1">
      <alignment horizontal="left" vertical="center"/>
    </xf>
    <xf numFmtId="0" fontId="27" fillId="5" borderId="6" xfId="0" applyFont="1" applyFill="1" applyBorder="1" applyAlignment="1" applyProtection="1">
      <alignment horizontal="center" wrapText="1"/>
    </xf>
    <xf numFmtId="0" fontId="27" fillId="5" borderId="7" xfId="0" applyFont="1" applyFill="1" applyBorder="1" applyAlignment="1" applyProtection="1">
      <alignment horizontal="center" wrapText="1"/>
    </xf>
    <xf numFmtId="0" fontId="28" fillId="0" borderId="0" xfId="0" applyFont="1" applyFill="1" applyBorder="1" applyProtection="1"/>
    <xf numFmtId="0" fontId="33" fillId="0" borderId="0" xfId="0" applyFont="1" applyFill="1" applyProtection="1"/>
    <xf numFmtId="0" fontId="33" fillId="0" borderId="0" xfId="0" applyFont="1" applyFill="1" applyBorder="1" applyProtection="1"/>
    <xf numFmtId="0" fontId="24" fillId="5" borderId="8" xfId="0" applyFont="1" applyFill="1" applyBorder="1" applyAlignment="1">
      <alignment horizontal="left" vertical="center"/>
    </xf>
    <xf numFmtId="0" fontId="34" fillId="5" borderId="9" xfId="0" applyFont="1" applyFill="1" applyBorder="1" applyAlignment="1" applyProtection="1">
      <alignment horizontal="center" wrapText="1"/>
    </xf>
    <xf numFmtId="0" fontId="34" fillId="5" borderId="10" xfId="0" applyFont="1" applyFill="1" applyBorder="1" applyAlignment="1" applyProtection="1">
      <alignment horizontal="center" wrapText="1"/>
    </xf>
    <xf numFmtId="168" fontId="28" fillId="0" borderId="0" xfId="0" applyNumberFormat="1" applyFont="1" applyBorder="1" applyProtection="1"/>
    <xf numFmtId="168" fontId="28" fillId="0" borderId="0" xfId="0" applyNumberFormat="1" applyFont="1" applyFill="1" applyBorder="1" applyProtection="1"/>
    <xf numFmtId="168" fontId="33" fillId="0" borderId="0" xfId="0" applyNumberFormat="1" applyFont="1" applyFill="1" applyBorder="1" applyProtection="1"/>
    <xf numFmtId="0" fontId="36" fillId="0" borderId="0" xfId="0" applyFont="1" applyBorder="1" applyAlignment="1" applyProtection="1">
      <alignment horizontal="right"/>
    </xf>
    <xf numFmtId="5" fontId="36" fillId="0" borderId="0" xfId="1" applyNumberFormat="1" applyFont="1" applyBorder="1" applyProtection="1"/>
    <xf numFmtId="168" fontId="28" fillId="0" borderId="0" xfId="0" applyNumberFormat="1" applyFont="1" applyFill="1" applyProtection="1"/>
    <xf numFmtId="168" fontId="33" fillId="0" borderId="0" xfId="0" applyNumberFormat="1" applyFont="1" applyFill="1" applyProtection="1"/>
    <xf numFmtId="0" fontId="37" fillId="0" borderId="0" xfId="0" applyFont="1" applyFill="1" applyBorder="1" applyProtection="1"/>
    <xf numFmtId="165" fontId="26" fillId="0" borderId="0" xfId="2" applyNumberFormat="1" applyFont="1" applyFill="1" applyBorder="1" applyProtection="1"/>
    <xf numFmtId="0" fontId="27" fillId="5" borderId="1" xfId="0" applyFont="1" applyFill="1" applyBorder="1" applyAlignment="1" applyProtection="1">
      <alignment horizontal="left" wrapText="1"/>
    </xf>
    <xf numFmtId="10" fontId="35" fillId="3" borderId="0" xfId="0" applyNumberFormat="1" applyFont="1" applyFill="1" applyBorder="1" applyProtection="1">
      <protection locked="0"/>
    </xf>
    <xf numFmtId="0" fontId="22" fillId="2" borderId="0" xfId="0" applyFont="1" applyFill="1" applyBorder="1" applyProtection="1"/>
    <xf numFmtId="10" fontId="26" fillId="3" borderId="0" xfId="0" applyNumberFormat="1" applyFont="1" applyFill="1" applyBorder="1" applyProtection="1">
      <protection locked="0"/>
    </xf>
    <xf numFmtId="0" fontId="27" fillId="0" borderId="0" xfId="0" applyFont="1" applyFill="1" applyBorder="1" applyAlignment="1" applyProtection="1">
      <alignment horizontal="left" wrapText="1"/>
    </xf>
    <xf numFmtId="0" fontId="27" fillId="0" borderId="0" xfId="0" applyFont="1" applyFill="1" applyBorder="1" applyAlignment="1" applyProtection="1">
      <alignment horizontal="center"/>
    </xf>
    <xf numFmtId="0" fontId="38" fillId="0" borderId="0" xfId="0" applyFont="1" applyFill="1" applyBorder="1" applyAlignment="1" applyProtection="1">
      <alignment horizontal="left" wrapText="1"/>
    </xf>
    <xf numFmtId="7" fontId="26" fillId="2" borderId="0" xfId="1" applyNumberFormat="1" applyFont="1" applyFill="1" applyBorder="1" applyProtection="1"/>
    <xf numFmtId="7" fontId="35" fillId="3" borderId="0" xfId="1" applyNumberFormat="1" applyFont="1" applyFill="1" applyBorder="1" applyAlignment="1" applyProtection="1">
      <alignment horizontal="right"/>
      <protection locked="0"/>
    </xf>
    <xf numFmtId="166" fontId="26" fillId="3" borderId="0" xfId="0" applyNumberFormat="1" applyFont="1" applyFill="1" applyBorder="1" applyProtection="1">
      <protection locked="0"/>
    </xf>
    <xf numFmtId="166" fontId="28" fillId="0" borderId="0" xfId="0" applyNumberFormat="1" applyFont="1" applyFill="1" applyBorder="1" applyProtection="1"/>
    <xf numFmtId="0" fontId="30" fillId="0" borderId="0" xfId="0" applyFont="1" applyFill="1" applyBorder="1" applyAlignment="1" applyProtection="1">
      <alignment horizontal="left"/>
    </xf>
    <xf numFmtId="7" fontId="30" fillId="0" borderId="0" xfId="1" applyNumberFormat="1" applyFont="1" applyFill="1" applyBorder="1" applyProtection="1"/>
    <xf numFmtId="0" fontId="39" fillId="0" borderId="0" xfId="0" applyFont="1" applyFill="1" applyBorder="1" applyProtection="1"/>
    <xf numFmtId="0" fontId="26" fillId="0" borderId="0" xfId="0" applyFont="1" applyFill="1" applyBorder="1" applyAlignment="1" applyProtection="1">
      <alignment horizontal="left"/>
    </xf>
    <xf numFmtId="7" fontId="26" fillId="0" borderId="0" xfId="1" applyNumberFormat="1" applyFont="1" applyFill="1" applyBorder="1" applyProtection="1"/>
    <xf numFmtId="0" fontId="27" fillId="0" borderId="0" xfId="0" applyFont="1" applyFill="1" applyBorder="1" applyAlignment="1" applyProtection="1">
      <alignment horizontal="center" wrapText="1"/>
    </xf>
    <xf numFmtId="44" fontId="33" fillId="0" borderId="0" xfId="0" applyNumberFormat="1" applyFont="1" applyFill="1" applyBorder="1" applyProtection="1"/>
    <xf numFmtId="0" fontId="26" fillId="3" borderId="0" xfId="0" applyFont="1" applyFill="1" applyBorder="1" applyAlignment="1" applyProtection="1">
      <alignment horizontal="right"/>
      <protection locked="0"/>
    </xf>
    <xf numFmtId="7" fontId="26" fillId="3" borderId="0" xfId="1" applyNumberFormat="1" applyFont="1" applyFill="1" applyBorder="1" applyProtection="1">
      <protection locked="0"/>
    </xf>
    <xf numFmtId="0" fontId="22" fillId="0" borderId="0" xfId="0" quotePrefix="1" applyFont="1" applyFill="1" applyBorder="1" applyProtection="1"/>
    <xf numFmtId="3" fontId="26" fillId="3" borderId="0" xfId="0" applyNumberFormat="1" applyFont="1" applyFill="1" applyBorder="1" applyProtection="1">
      <protection locked="0"/>
    </xf>
    <xf numFmtId="167" fontId="35" fillId="0" borderId="0" xfId="0" applyNumberFormat="1" applyFont="1" applyFill="1" applyProtection="1"/>
    <xf numFmtId="166" fontId="26" fillId="0" borderId="0" xfId="0" applyNumberFormat="1" applyFont="1" applyProtection="1">
      <protection locked="0"/>
    </xf>
    <xf numFmtId="0" fontId="26" fillId="0" borderId="0" xfId="0" applyFont="1" applyFill="1" applyBorder="1" applyAlignment="1" applyProtection="1">
      <alignment horizontal="right"/>
    </xf>
    <xf numFmtId="0" fontId="24" fillId="2" borderId="0" xfId="0" applyFont="1" applyFill="1"/>
    <xf numFmtId="0" fontId="24" fillId="0" borderId="0" xfId="0" applyFont="1"/>
    <xf numFmtId="0" fontId="25" fillId="5" borderId="3" xfId="0" quotePrefix="1" applyFont="1" applyFill="1" applyBorder="1" applyAlignment="1">
      <alignment horizontal="center"/>
    </xf>
    <xf numFmtId="0" fontId="40" fillId="2" borderId="0" xfId="0" applyFont="1" applyFill="1" applyAlignment="1">
      <alignment horizontal="right"/>
    </xf>
    <xf numFmtId="0" fontId="41" fillId="2" borderId="0" xfId="0" applyFont="1" applyFill="1" applyAlignment="1">
      <alignment horizontal="right"/>
    </xf>
    <xf numFmtId="0" fontId="42" fillId="2" borderId="0" xfId="0" quotePrefix="1" applyFont="1" applyFill="1" applyAlignment="1">
      <alignment horizontal="left" indent="10"/>
    </xf>
    <xf numFmtId="0" fontId="42" fillId="2" borderId="0" xfId="0" quotePrefix="1" applyFont="1" applyFill="1" applyAlignment="1"/>
    <xf numFmtId="0" fontId="40" fillId="2" borderId="0" xfId="0" quotePrefix="1" applyFont="1" applyFill="1" applyAlignment="1">
      <alignment horizontal="left" wrapText="1"/>
    </xf>
    <xf numFmtId="0" fontId="43" fillId="2" borderId="0" xfId="0" applyFont="1" applyFill="1"/>
    <xf numFmtId="0" fontId="43" fillId="2" borderId="0" xfId="0" quotePrefix="1" applyFont="1" applyFill="1" applyAlignment="1">
      <alignment horizontal="left" wrapText="1"/>
    </xf>
    <xf numFmtId="0" fontId="44" fillId="4" borderId="4" xfId="3" applyFont="1" applyFill="1" applyBorder="1" applyAlignment="1" applyProtection="1">
      <alignment horizontal="center" vertical="top" wrapText="1"/>
      <protection locked="0"/>
    </xf>
    <xf numFmtId="0" fontId="44" fillId="0" borderId="0" xfId="3" applyFont="1" applyFill="1" applyBorder="1" applyAlignment="1" applyProtection="1">
      <alignment horizontal="center" vertical="top" wrapText="1"/>
      <protection locked="0"/>
    </xf>
    <xf numFmtId="0" fontId="40" fillId="2" borderId="0" xfId="0" applyFont="1" applyFill="1" applyAlignment="1">
      <alignment horizontal="center" wrapText="1"/>
    </xf>
    <xf numFmtId="0" fontId="40" fillId="2" borderId="0" xfId="0" applyFont="1" applyFill="1" applyAlignment="1">
      <alignment horizontal="left" wrapText="1"/>
    </xf>
    <xf numFmtId="0" fontId="40" fillId="2" borderId="0" xfId="0" applyFont="1" applyFill="1"/>
    <xf numFmtId="0" fontId="34" fillId="5" borderId="1" xfId="0" quotePrefix="1" applyFont="1" applyFill="1" applyBorder="1" applyAlignment="1">
      <alignment horizontal="center"/>
    </xf>
    <xf numFmtId="0" fontId="34" fillId="5" borderId="2" xfId="0" quotePrefix="1" applyFont="1" applyFill="1" applyBorder="1" applyAlignment="1">
      <alignment horizontal="center"/>
    </xf>
    <xf numFmtId="0" fontId="34" fillId="5" borderId="3" xfId="0" quotePrefix="1" applyFont="1" applyFill="1" applyBorder="1" applyAlignment="1">
      <alignment horizontal="center"/>
    </xf>
    <xf numFmtId="168" fontId="26" fillId="3" borderId="0" xfId="0" applyNumberFormat="1" applyFont="1" applyFill="1" applyBorder="1" applyProtection="1">
      <protection locked="0"/>
    </xf>
    <xf numFmtId="9" fontId="26" fillId="3" borderId="0" xfId="0" applyNumberFormat="1" applyFont="1" applyFill="1" applyBorder="1" applyAlignment="1" applyProtection="1">
      <protection locked="0"/>
    </xf>
    <xf numFmtId="168" fontId="35" fillId="3" borderId="0" xfId="0" applyNumberFormat="1" applyFont="1" applyFill="1" applyBorder="1" applyProtection="1">
      <protection locked="0"/>
    </xf>
    <xf numFmtId="9" fontId="26" fillId="3" borderId="0" xfId="0" applyNumberFormat="1" applyFont="1" applyFill="1" applyBorder="1" applyAlignment="1" applyProtection="1">
      <alignment horizontal="right"/>
      <protection locked="0"/>
    </xf>
    <xf numFmtId="9" fontId="26" fillId="3" borderId="0" xfId="0" applyNumberFormat="1" applyFont="1" applyFill="1" applyBorder="1" applyAlignment="1" applyProtection="1">
      <alignment horizontal="center"/>
      <protection locked="0"/>
    </xf>
    <xf numFmtId="3" fontId="26" fillId="3" borderId="0" xfId="0" quotePrefix="1" applyNumberFormat="1" applyFont="1" applyFill="1" applyBorder="1" applyAlignment="1" applyProtection="1">
      <protection locked="0"/>
    </xf>
    <xf numFmtId="0" fontId="47" fillId="0" borderId="0" xfId="0" quotePrefix="1" applyFont="1" applyFill="1" applyBorder="1" applyAlignment="1">
      <alignment horizontal="center"/>
    </xf>
    <xf numFmtId="0" fontId="36" fillId="0" borderId="0" xfId="0" applyFont="1" applyFill="1" applyBorder="1" applyProtection="1"/>
    <xf numFmtId="0" fontId="26" fillId="0" borderId="0" xfId="0" applyFont="1" applyFill="1" applyBorder="1" applyAlignment="1" applyProtection="1">
      <alignment horizontal="right" wrapText="1"/>
      <protection locked="0"/>
    </xf>
    <xf numFmtId="0" fontId="24" fillId="0" borderId="0" xfId="0" applyFont="1" applyFill="1" applyBorder="1" applyAlignment="1">
      <alignment horizontal="left" wrapText="1"/>
    </xf>
    <xf numFmtId="0" fontId="26" fillId="0" borderId="0" xfId="0" applyFont="1" applyFill="1" applyBorder="1" applyAlignment="1" applyProtection="1">
      <alignment horizontal="left" wrapText="1"/>
      <protection locked="0"/>
    </xf>
    <xf numFmtId="0" fontId="24" fillId="2" borderId="0" xfId="0" applyFont="1" applyFill="1" applyProtection="1"/>
    <xf numFmtId="164" fontId="24" fillId="0" borderId="0" xfId="1" applyNumberFormat="1" applyFont="1" applyFill="1" applyBorder="1" applyProtection="1"/>
    <xf numFmtId="164" fontId="24" fillId="0" borderId="0" xfId="0" applyNumberFormat="1" applyFont="1" applyFill="1" applyBorder="1" applyProtection="1"/>
    <xf numFmtId="0" fontId="48" fillId="0" borderId="0" xfId="0" applyFont="1" applyFill="1" applyBorder="1" applyProtection="1"/>
    <xf numFmtId="167" fontId="24" fillId="0" borderId="0" xfId="0" applyNumberFormat="1" applyFont="1" applyFill="1" applyBorder="1" applyAlignment="1" applyProtection="1"/>
    <xf numFmtId="167" fontId="24" fillId="0" borderId="0" xfId="0" applyNumberFormat="1" applyFont="1" applyFill="1" applyBorder="1" applyProtection="1"/>
    <xf numFmtId="0" fontId="49" fillId="0" borderId="0" xfId="0" applyFont="1" applyFill="1" applyBorder="1" applyAlignment="1" applyProtection="1">
      <alignment horizontal="right"/>
    </xf>
    <xf numFmtId="167" fontId="33" fillId="0" borderId="0" xfId="0" applyNumberFormat="1" applyFont="1" applyFill="1" applyBorder="1" applyProtection="1"/>
    <xf numFmtId="9" fontId="24" fillId="0" borderId="0" xfId="4" applyFont="1" applyFill="1" applyBorder="1" applyProtection="1"/>
    <xf numFmtId="0" fontId="24" fillId="2" borderId="0" xfId="0" applyFont="1" applyFill="1" applyBorder="1" applyProtection="1"/>
    <xf numFmtId="167" fontId="24" fillId="2" borderId="0" xfId="0" applyNumberFormat="1" applyFont="1" applyFill="1" applyBorder="1" applyProtection="1"/>
    <xf numFmtId="0" fontId="24" fillId="0" borderId="0" xfId="0" applyFont="1" applyAlignment="1" applyProtection="1">
      <alignment wrapText="1"/>
    </xf>
    <xf numFmtId="0" fontId="33" fillId="0" borderId="0" xfId="0" applyFont="1" applyFill="1" applyAlignment="1" applyProtection="1">
      <alignment wrapText="1"/>
    </xf>
    <xf numFmtId="3" fontId="3" fillId="3" borderId="0" xfId="0" quotePrefix="1" applyNumberFormat="1" applyFont="1" applyFill="1" applyBorder="1" applyAlignment="1" applyProtection="1">
      <protection locked="0"/>
    </xf>
  </cellXfs>
  <cellStyles count="5">
    <cellStyle name="Comma" xfId="2" builtinId="3"/>
    <cellStyle name="Currency" xfId="1" builtinId="4"/>
    <cellStyle name="Normal" xfId="0" builtinId="0"/>
    <cellStyle name="Normal 2" xfId="3" xr:uid="{00000000-0005-0000-0000-000003000000}"/>
    <cellStyle name="Percent" xfId="4" builtinId="5"/>
  </cellStyles>
  <dxfs count="12">
    <dxf>
      <font>
        <color rgb="FFFF0000"/>
      </font>
    </dxf>
    <dxf>
      <font>
        <color rgb="FFFF0000"/>
      </font>
    </dxf>
    <dxf>
      <font>
        <color rgb="FFFF0000"/>
      </font>
    </dxf>
    <dxf>
      <font>
        <color rgb="FFFF0000"/>
      </font>
    </dxf>
    <dxf>
      <font>
        <color rgb="FFFF0000"/>
      </font>
    </dxf>
    <dxf>
      <font>
        <color rgb="FFFF0000"/>
      </font>
    </dxf>
    <dxf>
      <font>
        <color theme="0"/>
      </font>
      <fill>
        <patternFill>
          <bgColor theme="0"/>
        </patternFill>
      </fill>
    </dxf>
    <dxf>
      <font>
        <color rgb="FFFF0000"/>
      </font>
    </dxf>
    <dxf>
      <font>
        <color theme="0"/>
      </font>
    </dxf>
    <dxf>
      <font>
        <color theme="0"/>
      </font>
      <fill>
        <patternFill>
          <bgColor theme="0"/>
        </patternFill>
      </fill>
    </dxf>
    <dxf>
      <font>
        <color rgb="FFFF0000"/>
      </font>
    </dxf>
    <dxf>
      <font>
        <color theme="0"/>
      </font>
      <fill>
        <patternFill>
          <bgColor theme="0"/>
        </patternFill>
      </fill>
    </dxf>
  </dxfs>
  <tableStyles count="0" defaultTableStyle="TableStyleMedium2" defaultPivotStyle="PivotStyleLight16"/>
  <colors>
    <mruColors>
      <color rgb="FFF1B82D"/>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5181600</xdr:colOff>
      <xdr:row>4</xdr:row>
      <xdr:rowOff>125426</xdr:rowOff>
    </xdr:from>
    <xdr:to>
      <xdr:col>3</xdr:col>
      <xdr:colOff>224409</xdr:colOff>
      <xdr:row>6</xdr:row>
      <xdr:rowOff>142797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000750" y="1039826"/>
          <a:ext cx="1776984" cy="436471"/>
        </a:xfrm>
        <a:prstGeom prst="rect">
          <a:avLst/>
        </a:prstGeom>
      </xdr:spPr>
    </xdr:pic>
    <xdr:clientData/>
  </xdr:twoCellAnchor>
  <xdr:twoCellAnchor editAs="oneCell">
    <xdr:from>
      <xdr:col>2</xdr:col>
      <xdr:colOff>3038474</xdr:colOff>
      <xdr:row>17</xdr:row>
      <xdr:rowOff>38101</xdr:rowOff>
    </xdr:from>
    <xdr:to>
      <xdr:col>3</xdr:col>
      <xdr:colOff>250096</xdr:colOff>
      <xdr:row>18</xdr:row>
      <xdr:rowOff>194855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857624" y="5191126"/>
          <a:ext cx="3945797" cy="366304"/>
        </a:xfrm>
        <a:prstGeom prst="rect">
          <a:avLst/>
        </a:prstGeom>
      </xdr:spPr>
    </xdr:pic>
    <xdr:clientData/>
  </xdr:twoCellAnchor>
  <xdr:twoCellAnchor editAs="oneCell">
    <xdr:from>
      <xdr:col>2</xdr:col>
      <xdr:colOff>933786</xdr:colOff>
      <xdr:row>17</xdr:row>
      <xdr:rowOff>9525</xdr:rowOff>
    </xdr:from>
    <xdr:to>
      <xdr:col>2</xdr:col>
      <xdr:colOff>2414877</xdr:colOff>
      <xdr:row>19</xdr:row>
      <xdr:rowOff>75824</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752936" y="5162550"/>
          <a:ext cx="1481091" cy="485399"/>
        </a:xfrm>
        <a:prstGeom prst="rect">
          <a:avLst/>
        </a:prstGeom>
      </xdr:spPr>
    </xdr:pic>
    <xdr:clientData/>
  </xdr:twoCellAnchor>
</xdr:wsDr>
</file>

<file path=xl/theme/theme1.xml><?xml version="1.0" encoding="utf-8"?>
<a:theme xmlns:a="http://schemas.openxmlformats.org/drawingml/2006/main" name="Office Theme">
  <a:themeElements>
    <a:clrScheme name="Mizzou">
      <a:dk1>
        <a:srgbClr val="000000"/>
      </a:dk1>
      <a:lt1>
        <a:sysClr val="window" lastClr="FFFFFF"/>
      </a:lt1>
      <a:dk2>
        <a:srgbClr val="694F07"/>
      </a:dk2>
      <a:lt2>
        <a:srgbClr val="FBEEC9"/>
      </a:lt2>
      <a:accent1>
        <a:srgbClr val="CC9933"/>
      </a:accent1>
      <a:accent2>
        <a:srgbClr val="666666"/>
      </a:accent2>
      <a:accent3>
        <a:srgbClr val="CAC8B5"/>
      </a:accent3>
      <a:accent4>
        <a:srgbClr val="EDEBD5"/>
      </a:accent4>
      <a:accent5>
        <a:srgbClr val="F5DA78"/>
      </a:accent5>
      <a:accent6>
        <a:srgbClr val="F7E09E"/>
      </a:accent6>
      <a:hlink>
        <a:srgbClr val="000000"/>
      </a:hlink>
      <a:folHlink>
        <a:srgbClr val="0000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showGridLines="0" tabSelected="1" workbookViewId="0">
      <selection activeCell="F11" sqref="F11"/>
    </sheetView>
  </sheetViews>
  <sheetFormatPr defaultRowHeight="16.5" x14ac:dyDescent="0.3"/>
  <cols>
    <col min="1" max="1" width="3.140625" style="133" customWidth="1"/>
    <col min="2" max="2" width="9.140625" style="133"/>
    <col min="3" max="3" width="101" style="133" customWidth="1"/>
    <col min="4" max="16384" width="9.140625" style="133"/>
  </cols>
  <sheetData>
    <row r="1" spans="1:4" ht="17.25" thickBot="1" x14ac:dyDescent="0.35">
      <c r="A1" s="132"/>
      <c r="B1" s="132"/>
      <c r="C1" s="132"/>
      <c r="D1" s="132"/>
    </row>
    <row r="2" spans="1:4" ht="24.95" customHeight="1" thickBot="1" x14ac:dyDescent="0.55000000000000004">
      <c r="A2" s="132"/>
      <c r="B2" s="55" t="s">
        <v>87</v>
      </c>
      <c r="C2" s="56"/>
      <c r="D2" s="134"/>
    </row>
    <row r="3" spans="1:4" x14ac:dyDescent="0.3">
      <c r="A3" s="132"/>
      <c r="B3" s="132"/>
      <c r="C3" s="135" t="s">
        <v>150</v>
      </c>
      <c r="D3" s="132"/>
    </row>
    <row r="4" spans="1:4" x14ac:dyDescent="0.3">
      <c r="A4" s="132"/>
      <c r="B4" s="132"/>
      <c r="C4" s="136"/>
      <c r="D4" s="132"/>
    </row>
    <row r="5" spans="1:4" x14ac:dyDescent="0.3">
      <c r="A5" s="132"/>
      <c r="B5" s="132"/>
      <c r="C5" s="137" t="s">
        <v>80</v>
      </c>
      <c r="D5" s="132"/>
    </row>
    <row r="6" spans="1:4" x14ac:dyDescent="0.3">
      <c r="A6" s="132"/>
      <c r="B6" s="132"/>
      <c r="C6" s="138" t="s">
        <v>81</v>
      </c>
      <c r="D6" s="132"/>
    </row>
    <row r="7" spans="1:4" x14ac:dyDescent="0.3">
      <c r="A7" s="132"/>
      <c r="B7" s="132"/>
      <c r="C7" s="138" t="s">
        <v>149</v>
      </c>
      <c r="D7" s="132"/>
    </row>
    <row r="8" spans="1:4" x14ac:dyDescent="0.3">
      <c r="A8" s="132"/>
      <c r="B8" s="132"/>
      <c r="C8" s="132"/>
      <c r="D8" s="132"/>
    </row>
    <row r="9" spans="1:4" ht="86.25" x14ac:dyDescent="0.3">
      <c r="A9" s="132"/>
      <c r="B9" s="132"/>
      <c r="C9" s="139" t="s">
        <v>151</v>
      </c>
      <c r="D9" s="132"/>
    </row>
    <row r="10" spans="1:4" x14ac:dyDescent="0.3">
      <c r="A10" s="140"/>
      <c r="B10" s="140"/>
      <c r="C10" s="140"/>
      <c r="D10" s="140"/>
    </row>
    <row r="11" spans="1:4" ht="72" x14ac:dyDescent="0.3">
      <c r="A11" s="132"/>
      <c r="B11" s="132"/>
      <c r="C11" s="139" t="s">
        <v>152</v>
      </c>
      <c r="D11" s="132"/>
    </row>
    <row r="12" spans="1:4" x14ac:dyDescent="0.3">
      <c r="A12" s="140"/>
      <c r="B12" s="140"/>
      <c r="C12" s="140"/>
      <c r="D12" s="140"/>
    </row>
    <row r="13" spans="1:4" x14ac:dyDescent="0.3">
      <c r="A13" s="140"/>
      <c r="B13" s="140"/>
      <c r="C13" s="141"/>
      <c r="D13" s="140"/>
    </row>
    <row r="14" spans="1:4" x14ac:dyDescent="0.3">
      <c r="A14" s="132"/>
      <c r="B14" s="132"/>
      <c r="C14" s="142" t="s">
        <v>88</v>
      </c>
      <c r="D14" s="132"/>
    </row>
    <row r="15" spans="1:4" x14ac:dyDescent="0.3">
      <c r="A15" s="132"/>
      <c r="B15" s="132"/>
      <c r="C15" s="143"/>
      <c r="D15" s="132"/>
    </row>
    <row r="16" spans="1:4" x14ac:dyDescent="0.3">
      <c r="A16" s="132"/>
      <c r="B16" s="132"/>
      <c r="C16" s="144" t="s">
        <v>82</v>
      </c>
      <c r="D16" s="132"/>
    </row>
    <row r="17" spans="1:4" ht="14.25" customHeight="1" x14ac:dyDescent="0.3">
      <c r="A17" s="132"/>
      <c r="B17" s="132"/>
      <c r="C17" s="145"/>
      <c r="D17" s="132"/>
    </row>
    <row r="18" spans="1:4" x14ac:dyDescent="0.3">
      <c r="A18" s="132"/>
      <c r="B18" s="132"/>
      <c r="C18" s="145"/>
      <c r="D18" s="132"/>
    </row>
    <row r="19" spans="1:4" x14ac:dyDescent="0.3">
      <c r="A19" s="132"/>
      <c r="B19" s="132"/>
      <c r="C19" s="145"/>
      <c r="D19" s="132"/>
    </row>
    <row r="20" spans="1:4" x14ac:dyDescent="0.3">
      <c r="A20" s="132"/>
      <c r="B20" s="132"/>
      <c r="D20" s="132"/>
    </row>
    <row r="21" spans="1:4" x14ac:dyDescent="0.3">
      <c r="A21" s="132"/>
      <c r="B21" s="132"/>
      <c r="C21" s="145"/>
      <c r="D21" s="132"/>
    </row>
    <row r="22" spans="1:4" ht="17.25" thickBot="1" x14ac:dyDescent="0.35">
      <c r="A22" s="132"/>
      <c r="B22" s="132"/>
      <c r="C22" s="145"/>
      <c r="D22" s="132"/>
    </row>
    <row r="23" spans="1:4" ht="24.95" customHeight="1" thickBot="1" x14ac:dyDescent="0.35">
      <c r="A23" s="146"/>
      <c r="B23" s="147"/>
      <c r="C23" s="148"/>
      <c r="D23" s="149"/>
    </row>
  </sheetData>
  <sheetProtection sheet="1" objects="1" scenarios="1"/>
  <mergeCells count="2">
    <mergeCell ref="B2:D2"/>
    <mergeCell ref="B23:D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58"/>
  <sheetViews>
    <sheetView showGridLines="0" zoomScale="90" zoomScaleNormal="90" workbookViewId="0">
      <selection activeCell="H19" sqref="H19"/>
    </sheetView>
  </sheetViews>
  <sheetFormatPr defaultColWidth="9.140625" defaultRowHeight="16.5" x14ac:dyDescent="0.3"/>
  <cols>
    <col min="1" max="1" width="2.5703125" style="53" customWidth="1"/>
    <col min="2" max="2" width="71.7109375" style="53" customWidth="1"/>
    <col min="3" max="3" width="18.7109375" style="53" customWidth="1"/>
    <col min="4" max="4" width="24.7109375" style="53" customWidth="1"/>
    <col min="5" max="5" width="17.7109375" style="53" customWidth="1"/>
    <col min="6" max="6" width="15.42578125" style="53" customWidth="1"/>
    <col min="7" max="7" width="19.140625" style="53" customWidth="1"/>
    <col min="8" max="8" width="15.42578125" style="53" customWidth="1"/>
    <col min="9" max="9" width="17" style="53" customWidth="1"/>
    <col min="10" max="10" width="18" style="53" customWidth="1"/>
    <col min="11" max="11" width="12.7109375" style="53" customWidth="1"/>
    <col min="12" max="12" width="13.5703125" style="53" customWidth="1"/>
    <col min="13" max="14" width="9.140625" style="53"/>
    <col min="15" max="15" width="11.85546875" style="53" customWidth="1"/>
    <col min="16" max="16384" width="9.140625" style="53"/>
  </cols>
  <sheetData>
    <row r="1" spans="1:27" ht="17.25" thickBot="1" x14ac:dyDescent="0.35"/>
    <row r="2" spans="1:27" ht="26.25" thickBot="1" x14ac:dyDescent="0.55000000000000004">
      <c r="A2" s="54"/>
      <c r="B2" s="55" t="s">
        <v>87</v>
      </c>
      <c r="C2" s="56"/>
      <c r="D2" s="56"/>
      <c r="E2" s="56"/>
      <c r="F2" s="56"/>
      <c r="G2" s="54"/>
      <c r="H2" s="54"/>
      <c r="I2" s="54"/>
      <c r="J2" s="54"/>
      <c r="K2" s="54"/>
      <c r="L2" s="54"/>
    </row>
    <row r="3" spans="1:27" ht="18" customHeight="1" thickBot="1" x14ac:dyDescent="0.35">
      <c r="A3" s="54"/>
      <c r="B3" s="57"/>
      <c r="C3" s="57"/>
      <c r="D3" s="57"/>
      <c r="E3" s="58"/>
      <c r="F3" s="58"/>
      <c r="G3" s="54"/>
      <c r="H3" s="54"/>
      <c r="I3" s="54"/>
      <c r="J3" s="54"/>
      <c r="K3" s="58"/>
      <c r="L3" s="58"/>
      <c r="M3" s="58"/>
      <c r="N3" s="58"/>
      <c r="O3" s="58"/>
      <c r="P3" s="58"/>
      <c r="Q3" s="58"/>
      <c r="R3" s="58"/>
      <c r="S3" s="58"/>
      <c r="T3" s="58"/>
      <c r="U3" s="58"/>
      <c r="V3" s="58"/>
      <c r="W3" s="58"/>
      <c r="X3" s="58"/>
      <c r="Y3" s="58"/>
      <c r="Z3" s="58"/>
      <c r="AA3" s="58"/>
    </row>
    <row r="4" spans="1:27" ht="18" customHeight="1" thickBot="1" x14ac:dyDescent="0.35">
      <c r="A4" s="54"/>
      <c r="B4" s="59" t="s">
        <v>105</v>
      </c>
      <c r="C4" s="60" t="s">
        <v>30</v>
      </c>
      <c r="D4" s="60" t="s">
        <v>9</v>
      </c>
      <c r="E4" s="61"/>
      <c r="F4" s="62"/>
      <c r="G4" s="54"/>
      <c r="H4" s="54"/>
      <c r="I4" s="54"/>
      <c r="J4" s="54"/>
      <c r="K4" s="58"/>
      <c r="L4" s="58"/>
      <c r="M4" s="58"/>
      <c r="N4" s="58"/>
      <c r="O4" s="58"/>
      <c r="P4" s="58"/>
      <c r="Q4" s="58"/>
      <c r="R4" s="58"/>
      <c r="S4" s="58"/>
      <c r="T4" s="58"/>
      <c r="U4" s="58"/>
      <c r="V4" s="58"/>
      <c r="W4" s="58"/>
      <c r="X4" s="58"/>
      <c r="Y4" s="58"/>
      <c r="Z4" s="58"/>
      <c r="AA4" s="58"/>
    </row>
    <row r="5" spans="1:27" ht="18" customHeight="1" x14ac:dyDescent="0.3">
      <c r="A5" s="54"/>
      <c r="B5" s="63" t="s">
        <v>24</v>
      </c>
      <c r="C5" s="64">
        <v>600</v>
      </c>
      <c r="D5" s="65" t="s">
        <v>107</v>
      </c>
      <c r="E5" s="58"/>
      <c r="F5" s="58"/>
      <c r="G5" s="54"/>
      <c r="H5" s="54"/>
      <c r="I5" s="54"/>
      <c r="J5" s="54"/>
      <c r="K5" s="58"/>
      <c r="L5" s="58"/>
      <c r="M5" s="58"/>
      <c r="N5" s="58"/>
      <c r="O5" s="58"/>
      <c r="P5" s="58"/>
      <c r="Q5" s="58"/>
      <c r="R5" s="58"/>
      <c r="S5" s="58"/>
      <c r="T5" s="58"/>
      <c r="U5" s="58"/>
      <c r="V5" s="58"/>
      <c r="W5" s="58"/>
      <c r="X5" s="58"/>
      <c r="Y5" s="58"/>
      <c r="Z5" s="58"/>
      <c r="AA5" s="58"/>
    </row>
    <row r="6" spans="1:27" ht="18" customHeight="1" thickBot="1" x14ac:dyDescent="0.35">
      <c r="A6" s="54"/>
      <c r="B6" s="57" t="s">
        <v>145</v>
      </c>
      <c r="C6" s="126">
        <v>150</v>
      </c>
      <c r="D6" s="65" t="s">
        <v>146</v>
      </c>
      <c r="E6" s="58"/>
      <c r="F6" s="58"/>
      <c r="G6" s="54"/>
      <c r="H6" s="54"/>
      <c r="I6" s="54"/>
      <c r="J6" s="54"/>
      <c r="K6" s="58"/>
      <c r="L6" s="58"/>
      <c r="M6" s="58"/>
      <c r="N6" s="58"/>
      <c r="O6" s="58"/>
      <c r="P6" s="58"/>
      <c r="Q6" s="58"/>
      <c r="R6" s="58"/>
      <c r="S6" s="58"/>
      <c r="T6" s="58"/>
      <c r="U6" s="58"/>
      <c r="V6" s="58"/>
      <c r="W6" s="58"/>
      <c r="X6" s="58"/>
      <c r="Y6" s="58"/>
      <c r="Z6" s="58"/>
      <c r="AA6" s="58"/>
    </row>
    <row r="7" spans="1:27" ht="18" customHeight="1" thickBot="1" x14ac:dyDescent="0.35">
      <c r="A7" s="54"/>
      <c r="B7" s="59" t="s">
        <v>71</v>
      </c>
      <c r="C7" s="60" t="s">
        <v>30</v>
      </c>
      <c r="D7" s="60" t="s">
        <v>9</v>
      </c>
      <c r="E7" s="60" t="s">
        <v>30</v>
      </c>
      <c r="F7" s="66" t="s">
        <v>9</v>
      </c>
      <c r="G7" s="54"/>
      <c r="H7" s="54"/>
      <c r="I7" s="54"/>
      <c r="J7" s="54"/>
      <c r="K7" s="58"/>
      <c r="L7" s="58"/>
      <c r="M7" s="58"/>
      <c r="N7" s="58"/>
      <c r="O7" s="58"/>
      <c r="P7" s="58"/>
      <c r="Q7" s="58"/>
      <c r="R7" s="58"/>
      <c r="S7" s="58"/>
      <c r="T7" s="58"/>
      <c r="U7" s="58"/>
      <c r="V7" s="58"/>
      <c r="W7" s="58"/>
      <c r="X7" s="58"/>
      <c r="Y7" s="58"/>
      <c r="Z7" s="58"/>
      <c r="AA7" s="58"/>
    </row>
    <row r="8" spans="1:27" ht="18" customHeight="1" x14ac:dyDescent="0.3">
      <c r="A8" s="54"/>
      <c r="B8" s="57" t="s">
        <v>14</v>
      </c>
      <c r="C8" s="67">
        <v>10</v>
      </c>
      <c r="D8" s="65" t="s">
        <v>4</v>
      </c>
      <c r="E8" s="58"/>
      <c r="F8" s="58"/>
      <c r="G8" s="54"/>
      <c r="H8" s="68" t="s">
        <v>12</v>
      </c>
      <c r="I8" s="54"/>
      <c r="J8" s="54"/>
      <c r="K8" s="58"/>
      <c r="L8" s="58"/>
      <c r="M8" s="58"/>
      <c r="N8" s="58"/>
      <c r="O8" s="58"/>
      <c r="P8" s="58"/>
      <c r="Q8" s="58"/>
      <c r="R8" s="58"/>
      <c r="S8" s="58"/>
      <c r="T8" s="58"/>
      <c r="U8" s="58"/>
      <c r="V8" s="58"/>
      <c r="W8" s="58"/>
      <c r="X8" s="58"/>
      <c r="Y8" s="58"/>
      <c r="Z8" s="58"/>
      <c r="AA8" s="58"/>
    </row>
    <row r="9" spans="1:27" ht="18" customHeight="1" x14ac:dyDescent="0.3">
      <c r="A9" s="54"/>
      <c r="B9" s="57" t="s">
        <v>130</v>
      </c>
      <c r="C9" s="69">
        <v>1.5</v>
      </c>
      <c r="D9" s="65" t="s">
        <v>131</v>
      </c>
      <c r="E9" s="58"/>
      <c r="F9" s="58"/>
      <c r="G9" s="54"/>
      <c r="H9" s="68" t="s">
        <v>10</v>
      </c>
      <c r="I9" s="54"/>
      <c r="J9" s="54"/>
      <c r="K9" s="58"/>
      <c r="L9" s="58"/>
      <c r="M9" s="58"/>
      <c r="N9" s="58"/>
      <c r="O9" s="58"/>
      <c r="P9" s="58"/>
      <c r="Q9" s="58"/>
      <c r="R9" s="58"/>
      <c r="S9" s="58"/>
      <c r="T9" s="58"/>
      <c r="U9" s="58"/>
      <c r="V9" s="58"/>
      <c r="W9" s="58"/>
      <c r="X9" s="58"/>
      <c r="Y9" s="58"/>
      <c r="Z9" s="58"/>
      <c r="AA9" s="58"/>
    </row>
    <row r="10" spans="1:27" ht="18" customHeight="1" x14ac:dyDescent="0.3">
      <c r="A10" s="54"/>
      <c r="B10" s="57" t="s">
        <v>128</v>
      </c>
      <c r="C10" s="67">
        <v>10</v>
      </c>
      <c r="D10" s="65" t="s">
        <v>129</v>
      </c>
      <c r="E10" s="58"/>
      <c r="F10" s="58"/>
      <c r="G10" s="54"/>
      <c r="I10" s="54"/>
      <c r="J10" s="54"/>
      <c r="K10" s="58"/>
      <c r="L10" s="58"/>
      <c r="M10" s="58"/>
      <c r="N10" s="58"/>
      <c r="O10" s="58"/>
      <c r="P10" s="58"/>
      <c r="Q10" s="58"/>
      <c r="R10" s="58"/>
      <c r="S10" s="58"/>
      <c r="T10" s="58"/>
      <c r="U10" s="58"/>
      <c r="V10" s="58"/>
      <c r="W10" s="58"/>
      <c r="X10" s="58"/>
      <c r="Y10" s="58"/>
      <c r="Z10" s="58"/>
      <c r="AA10" s="58"/>
    </row>
    <row r="11" spans="1:27" ht="18" customHeight="1" x14ac:dyDescent="0.3">
      <c r="A11" s="54"/>
      <c r="B11" s="57" t="s">
        <v>94</v>
      </c>
      <c r="C11" s="70">
        <f>C9*C10</f>
        <v>15</v>
      </c>
      <c r="D11" s="65" t="s">
        <v>102</v>
      </c>
      <c r="E11" s="71">
        <f>27154*C11*C8</f>
        <v>4073100</v>
      </c>
      <c r="F11" s="65" t="s">
        <v>92</v>
      </c>
      <c r="G11" s="54"/>
      <c r="H11" s="54"/>
      <c r="I11" s="54"/>
      <c r="J11" s="54"/>
      <c r="K11" s="58"/>
      <c r="L11" s="58"/>
      <c r="M11" s="58"/>
      <c r="N11" s="58"/>
      <c r="O11" s="58"/>
      <c r="P11" s="58"/>
      <c r="Q11" s="58"/>
      <c r="R11" s="58"/>
      <c r="S11" s="58"/>
      <c r="T11" s="58"/>
      <c r="U11" s="58"/>
      <c r="V11" s="58"/>
      <c r="W11" s="58"/>
      <c r="X11" s="58"/>
      <c r="Y11" s="58"/>
      <c r="Z11" s="58"/>
      <c r="AA11" s="58"/>
    </row>
    <row r="12" spans="1:27" ht="18" customHeight="1" x14ac:dyDescent="0.3">
      <c r="A12" s="54"/>
      <c r="B12" s="72" t="s">
        <v>109</v>
      </c>
      <c r="C12" s="73">
        <f>((C11*C5*C8)/2000)</f>
        <v>45</v>
      </c>
      <c r="D12" s="65" t="s">
        <v>70</v>
      </c>
      <c r="E12" s="58"/>
      <c r="F12" s="58"/>
      <c r="G12" s="54"/>
      <c r="H12" s="54"/>
      <c r="I12" s="54"/>
      <c r="J12" s="54"/>
      <c r="K12" s="58"/>
      <c r="L12" s="58"/>
      <c r="M12" s="58"/>
      <c r="N12" s="58"/>
      <c r="O12" s="58"/>
      <c r="P12" s="58"/>
      <c r="Q12" s="58"/>
      <c r="R12" s="58"/>
      <c r="S12" s="58"/>
      <c r="T12" s="58"/>
      <c r="U12" s="58"/>
      <c r="V12" s="58"/>
      <c r="W12" s="58"/>
      <c r="X12" s="58"/>
      <c r="Y12" s="58"/>
      <c r="Z12" s="58"/>
      <c r="AA12" s="58"/>
    </row>
    <row r="13" spans="1:27" ht="18" customHeight="1" thickBot="1" x14ac:dyDescent="0.35">
      <c r="A13" s="54"/>
      <c r="B13" s="57"/>
      <c r="C13" s="74"/>
      <c r="D13" s="65"/>
      <c r="E13" s="58"/>
      <c r="F13" s="58"/>
      <c r="G13" s="54"/>
      <c r="H13" s="54"/>
      <c r="I13" s="54"/>
      <c r="J13" s="54"/>
      <c r="K13" s="58"/>
      <c r="L13" s="58"/>
      <c r="M13" s="58"/>
      <c r="N13" s="58"/>
      <c r="O13" s="58"/>
      <c r="P13" s="58"/>
      <c r="Q13" s="58"/>
      <c r="R13" s="58"/>
      <c r="S13" s="58"/>
      <c r="T13" s="58"/>
      <c r="U13" s="58"/>
      <c r="V13" s="58"/>
      <c r="W13" s="58"/>
      <c r="X13" s="58"/>
      <c r="Y13" s="58"/>
      <c r="Z13" s="58"/>
      <c r="AA13" s="58"/>
    </row>
    <row r="14" spans="1:27" ht="18" customHeight="1" thickBot="1" x14ac:dyDescent="0.35">
      <c r="A14" s="54"/>
      <c r="B14" s="59" t="s">
        <v>127</v>
      </c>
      <c r="C14" s="60" t="s">
        <v>30</v>
      </c>
      <c r="D14" s="60" t="s">
        <v>9</v>
      </c>
      <c r="E14" s="60" t="s">
        <v>30</v>
      </c>
      <c r="F14" s="66" t="s">
        <v>9</v>
      </c>
      <c r="G14" s="54"/>
      <c r="H14" s="54"/>
      <c r="I14" s="54"/>
      <c r="J14" s="54"/>
      <c r="K14" s="58"/>
      <c r="L14" s="58"/>
      <c r="M14" s="58"/>
      <c r="N14" s="58"/>
      <c r="O14" s="58"/>
      <c r="P14" s="58"/>
      <c r="Q14" s="58"/>
      <c r="R14" s="58"/>
      <c r="S14" s="58"/>
      <c r="T14" s="58"/>
      <c r="U14" s="58"/>
      <c r="V14" s="58"/>
      <c r="W14" s="58"/>
      <c r="X14" s="58"/>
      <c r="Y14" s="58"/>
      <c r="Z14" s="58"/>
      <c r="AA14" s="58"/>
    </row>
    <row r="15" spans="1:27" ht="18" customHeight="1" x14ac:dyDescent="0.3">
      <c r="A15" s="54"/>
      <c r="B15" s="57" t="s">
        <v>132</v>
      </c>
      <c r="C15" s="155">
        <v>50</v>
      </c>
      <c r="D15" s="65" t="s">
        <v>117</v>
      </c>
      <c r="E15" s="76">
        <f>((E11/C10)/(C15*60))</f>
        <v>135.77000000000001</v>
      </c>
      <c r="G15" s="77"/>
      <c r="H15" s="54"/>
      <c r="I15" s="54"/>
      <c r="J15" s="54"/>
      <c r="K15" s="58"/>
      <c r="L15" s="58"/>
      <c r="M15" s="58"/>
      <c r="N15" s="58"/>
      <c r="O15" s="58"/>
      <c r="P15" s="58"/>
      <c r="Q15" s="58"/>
      <c r="R15" s="58"/>
      <c r="S15" s="58"/>
      <c r="T15" s="58"/>
      <c r="U15" s="58"/>
      <c r="V15" s="58"/>
      <c r="W15" s="58"/>
      <c r="X15" s="58"/>
      <c r="Y15" s="58"/>
      <c r="Z15" s="58"/>
      <c r="AA15" s="58"/>
    </row>
    <row r="16" spans="1:27" ht="18" customHeight="1" x14ac:dyDescent="0.3">
      <c r="A16" s="54"/>
      <c r="B16" s="78" t="str">
        <f>"  The selected pumping rate of "&amp;LOWER(C15)&amp;" gallons per minute will require you to run the system "&amp;ROUND(E15,0)&amp;" hours of pumping time per irrigation"</f>
        <v xml:space="preserve">  The selected pumping rate of 50 gallons per minute will require you to run the system 136 hours of pumping time per irrigation</v>
      </c>
      <c r="C16" s="79"/>
      <c r="D16" s="80"/>
      <c r="E16" s="81"/>
      <c r="G16" s="77"/>
      <c r="H16" s="54"/>
      <c r="I16" s="54"/>
      <c r="J16" s="54"/>
      <c r="K16" s="58"/>
      <c r="L16" s="58"/>
      <c r="M16" s="58"/>
      <c r="N16" s="58"/>
      <c r="O16" s="58"/>
      <c r="P16" s="58"/>
      <c r="Q16" s="58"/>
      <c r="R16" s="58"/>
      <c r="S16" s="58"/>
      <c r="T16" s="58"/>
      <c r="U16" s="58"/>
      <c r="V16" s="58"/>
      <c r="W16" s="58"/>
      <c r="X16" s="58"/>
      <c r="Y16" s="58"/>
      <c r="Z16" s="58"/>
      <c r="AA16" s="58"/>
    </row>
    <row r="17" spans="1:27" ht="18" customHeight="1" x14ac:dyDescent="0.3">
      <c r="A17" s="54"/>
      <c r="B17" s="57" t="s">
        <v>143</v>
      </c>
      <c r="C17" s="82" t="s">
        <v>91</v>
      </c>
      <c r="D17" s="65"/>
      <c r="E17" s="74"/>
      <c r="F17" s="65"/>
      <c r="G17" s="83" t="s">
        <v>90</v>
      </c>
      <c r="H17" s="54"/>
      <c r="J17" s="54"/>
      <c r="K17" s="58"/>
      <c r="L17" s="58"/>
      <c r="M17" s="58"/>
      <c r="N17" s="58"/>
      <c r="O17" s="58"/>
      <c r="P17" s="58"/>
      <c r="Q17" s="58"/>
      <c r="R17" s="58"/>
      <c r="S17" s="58"/>
      <c r="T17" s="58"/>
      <c r="U17" s="58"/>
      <c r="V17" s="58"/>
      <c r="W17" s="58"/>
      <c r="X17" s="58"/>
      <c r="Y17" s="58"/>
      <c r="Z17" s="58"/>
      <c r="AA17" s="58"/>
    </row>
    <row r="18" spans="1:27" s="86" customFormat="1" ht="18" customHeight="1" x14ac:dyDescent="0.3">
      <c r="A18" s="84"/>
      <c r="B18" s="57" t="s">
        <v>133</v>
      </c>
      <c r="C18" s="75">
        <v>15</v>
      </c>
      <c r="D18" s="65" t="s">
        <v>117</v>
      </c>
      <c r="E18" s="68"/>
      <c r="F18" s="65"/>
      <c r="G18" s="84" t="s">
        <v>91</v>
      </c>
      <c r="H18" s="84"/>
      <c r="I18" s="84"/>
      <c r="J18" s="84"/>
      <c r="K18" s="85"/>
      <c r="L18" s="85"/>
      <c r="M18" s="85"/>
      <c r="N18" s="85"/>
      <c r="O18" s="85"/>
      <c r="P18" s="85"/>
      <c r="Q18" s="85"/>
      <c r="R18" s="85"/>
      <c r="S18" s="85"/>
      <c r="T18" s="85"/>
      <c r="U18" s="85"/>
      <c r="V18" s="85"/>
      <c r="W18" s="85"/>
      <c r="X18" s="85"/>
      <c r="Y18" s="85"/>
      <c r="Z18" s="85"/>
      <c r="AA18" s="85"/>
    </row>
    <row r="19" spans="1:27" s="86" customFormat="1" ht="18" customHeight="1" thickBot="1" x14ac:dyDescent="0.35">
      <c r="A19" s="84"/>
      <c r="B19" s="87"/>
      <c r="C19" s="87"/>
      <c r="D19" s="87"/>
      <c r="E19" s="58"/>
      <c r="F19" s="58"/>
      <c r="G19" s="84"/>
      <c r="H19" s="84"/>
      <c r="I19" s="84"/>
      <c r="J19" s="84"/>
      <c r="K19" s="85"/>
      <c r="L19" s="85"/>
      <c r="M19" s="85"/>
      <c r="N19" s="85"/>
      <c r="O19" s="85"/>
      <c r="P19" s="85"/>
      <c r="Q19" s="85"/>
      <c r="R19" s="85"/>
      <c r="S19" s="85"/>
      <c r="T19" s="85"/>
      <c r="U19" s="85"/>
      <c r="V19" s="85"/>
      <c r="W19" s="85"/>
      <c r="X19" s="85"/>
      <c r="Y19" s="85"/>
      <c r="Z19" s="85"/>
      <c r="AA19" s="85"/>
    </row>
    <row r="20" spans="1:27" ht="18" customHeight="1" thickBot="1" x14ac:dyDescent="0.35">
      <c r="A20" s="54"/>
      <c r="B20" s="59" t="s">
        <v>106</v>
      </c>
      <c r="C20" s="60" t="s">
        <v>30</v>
      </c>
      <c r="D20" s="60" t="s">
        <v>9</v>
      </c>
      <c r="E20" s="60" t="s">
        <v>30</v>
      </c>
      <c r="F20" s="66" t="s">
        <v>9</v>
      </c>
      <c r="G20" s="54"/>
      <c r="H20" s="54"/>
      <c r="I20" s="54"/>
      <c r="J20" s="54"/>
      <c r="K20" s="58"/>
      <c r="L20" s="58"/>
      <c r="M20" s="58"/>
      <c r="N20" s="58"/>
      <c r="O20" s="58"/>
      <c r="P20" s="58"/>
      <c r="Q20" s="58"/>
      <c r="R20" s="58"/>
      <c r="S20" s="58"/>
      <c r="T20" s="58"/>
      <c r="U20" s="58"/>
      <c r="V20" s="58"/>
      <c r="W20" s="58"/>
      <c r="X20" s="58"/>
      <c r="Y20" s="58"/>
      <c r="Z20" s="58"/>
      <c r="AA20" s="58"/>
    </row>
    <row r="21" spans="1:27" ht="18" customHeight="1" x14ac:dyDescent="0.3">
      <c r="A21" s="54"/>
      <c r="B21" s="63" t="s">
        <v>72</v>
      </c>
      <c r="C21" s="88">
        <v>0.7</v>
      </c>
      <c r="D21" s="65" t="s">
        <v>39</v>
      </c>
      <c r="E21" s="58"/>
      <c r="F21" s="58"/>
      <c r="G21" s="54"/>
      <c r="H21" s="54"/>
      <c r="I21" s="54"/>
      <c r="J21" s="54"/>
      <c r="K21" s="58"/>
      <c r="L21" s="58"/>
      <c r="M21" s="58"/>
      <c r="N21" s="58"/>
      <c r="O21" s="58"/>
      <c r="P21" s="58"/>
      <c r="Q21" s="58"/>
      <c r="R21" s="58"/>
      <c r="S21" s="58"/>
      <c r="T21" s="58"/>
      <c r="U21" s="58"/>
      <c r="V21" s="58"/>
      <c r="W21" s="58"/>
      <c r="X21" s="58"/>
      <c r="Y21" s="58"/>
      <c r="Z21" s="58"/>
      <c r="AA21" s="58"/>
    </row>
    <row r="22" spans="1:27" ht="18" customHeight="1" x14ac:dyDescent="0.3">
      <c r="A22" s="54"/>
      <c r="B22" s="57" t="s">
        <v>13</v>
      </c>
      <c r="C22" s="64">
        <v>100</v>
      </c>
      <c r="D22" s="65" t="s">
        <v>3</v>
      </c>
      <c r="E22" s="58"/>
      <c r="F22" s="58"/>
      <c r="G22" s="54"/>
      <c r="H22" s="54"/>
      <c r="I22" s="54"/>
      <c r="J22" s="54"/>
      <c r="K22" s="58"/>
      <c r="L22" s="58"/>
      <c r="M22" s="58"/>
      <c r="N22" s="58"/>
      <c r="O22" s="58"/>
      <c r="P22" s="58"/>
      <c r="Q22" s="58"/>
      <c r="R22" s="58"/>
      <c r="S22" s="58"/>
      <c r="T22" s="58"/>
      <c r="U22" s="58"/>
      <c r="V22" s="58"/>
      <c r="W22" s="58"/>
      <c r="X22" s="58"/>
      <c r="Y22" s="58"/>
      <c r="Z22" s="58"/>
      <c r="AA22" s="58"/>
    </row>
    <row r="23" spans="1:27" ht="18" customHeight="1" thickBot="1" x14ac:dyDescent="0.35">
      <c r="A23" s="54"/>
      <c r="G23" s="54"/>
      <c r="H23" s="54"/>
      <c r="I23" s="54"/>
      <c r="J23" s="54"/>
      <c r="K23" s="58"/>
      <c r="L23" s="58"/>
      <c r="M23" s="58"/>
      <c r="N23" s="58"/>
      <c r="O23" s="58"/>
      <c r="P23" s="58"/>
      <c r="Q23" s="58"/>
      <c r="R23" s="58"/>
      <c r="S23" s="58"/>
      <c r="T23" s="58"/>
      <c r="U23" s="58"/>
      <c r="V23" s="58"/>
      <c r="W23" s="58"/>
      <c r="X23" s="58"/>
      <c r="Y23" s="58"/>
      <c r="Z23" s="58"/>
      <c r="AA23" s="58"/>
    </row>
    <row r="24" spans="1:27" ht="17.25" x14ac:dyDescent="0.3">
      <c r="A24" s="54"/>
      <c r="B24" s="89" t="s">
        <v>126</v>
      </c>
      <c r="C24" s="90" t="s">
        <v>2</v>
      </c>
      <c r="D24" s="90" t="s">
        <v>122</v>
      </c>
      <c r="E24" s="90" t="s">
        <v>123</v>
      </c>
      <c r="F24" s="91" t="s">
        <v>68</v>
      </c>
      <c r="G24" s="92" t="s">
        <v>67</v>
      </c>
      <c r="H24" s="83" t="s">
        <v>28</v>
      </c>
      <c r="I24" s="83" t="s">
        <v>125</v>
      </c>
      <c r="J24" s="93"/>
      <c r="K24" s="94"/>
      <c r="L24" s="58"/>
      <c r="M24" s="58"/>
      <c r="N24" s="58"/>
      <c r="O24" s="58"/>
      <c r="P24" s="58"/>
      <c r="Q24" s="58"/>
      <c r="R24" s="58"/>
      <c r="S24" s="58"/>
      <c r="T24" s="58"/>
      <c r="U24" s="58"/>
      <c r="V24" s="58"/>
      <c r="W24" s="58"/>
      <c r="X24" s="58"/>
      <c r="Y24" s="58"/>
      <c r="Z24" s="58"/>
      <c r="AA24" s="58"/>
    </row>
    <row r="25" spans="1:27" ht="17.25" thickBot="1" x14ac:dyDescent="0.35">
      <c r="A25" s="54"/>
      <c r="B25" s="95"/>
      <c r="C25" s="96" t="s">
        <v>124</v>
      </c>
      <c r="D25" s="96" t="s">
        <v>121</v>
      </c>
      <c r="E25" s="96" t="s">
        <v>120</v>
      </c>
      <c r="F25" s="97" t="s">
        <v>120</v>
      </c>
      <c r="G25" s="92"/>
      <c r="H25" s="83"/>
      <c r="I25" s="83"/>
      <c r="J25" s="93"/>
      <c r="K25" s="94"/>
      <c r="L25" s="58"/>
      <c r="M25" s="58"/>
      <c r="N25" s="58"/>
      <c r="O25" s="58"/>
      <c r="P25" s="58"/>
      <c r="Q25" s="58"/>
      <c r="R25" s="58"/>
      <c r="S25" s="58"/>
      <c r="T25" s="58"/>
      <c r="U25" s="58"/>
      <c r="V25" s="58"/>
      <c r="W25" s="58"/>
      <c r="X25" s="58"/>
      <c r="Y25" s="58"/>
      <c r="Z25" s="58"/>
      <c r="AA25" s="58"/>
    </row>
    <row r="26" spans="1:27" ht="18" customHeight="1" x14ac:dyDescent="0.3">
      <c r="A26" s="54"/>
      <c r="B26" s="64" t="s">
        <v>139</v>
      </c>
      <c r="C26" s="150">
        <v>5380</v>
      </c>
      <c r="D26" s="64">
        <v>15</v>
      </c>
      <c r="E26" s="151">
        <v>0</v>
      </c>
      <c r="F26" s="151">
        <v>0.03</v>
      </c>
      <c r="G26" s="98">
        <f t="shared" ref="G26:G32" si="0">C26*E26</f>
        <v>0</v>
      </c>
      <c r="H26" s="99">
        <f t="shared" ref="H26:H32" si="1">IF(C26&gt;0,(C26-G26)/D26,0)</f>
        <v>358.66666666666669</v>
      </c>
      <c r="I26" s="99">
        <f>(C26+G26)/2</f>
        <v>2690</v>
      </c>
      <c r="J26" s="100"/>
      <c r="K26" s="94"/>
      <c r="L26" s="58"/>
      <c r="M26" s="58"/>
      <c r="N26" s="58"/>
      <c r="O26" s="58"/>
      <c r="P26" s="58"/>
      <c r="Q26" s="58"/>
      <c r="R26" s="58"/>
      <c r="S26" s="58"/>
      <c r="T26" s="58"/>
      <c r="U26" s="58"/>
      <c r="V26" s="58"/>
      <c r="W26" s="58"/>
      <c r="X26" s="58"/>
      <c r="Y26" s="58"/>
      <c r="Z26" s="58"/>
      <c r="AA26" s="58"/>
    </row>
    <row r="27" spans="1:27" ht="18" customHeight="1" x14ac:dyDescent="0.3">
      <c r="A27" s="54"/>
      <c r="B27" s="64" t="s">
        <v>140</v>
      </c>
      <c r="C27" s="152">
        <v>4105</v>
      </c>
      <c r="D27" s="64">
        <v>15</v>
      </c>
      <c r="E27" s="153">
        <v>0</v>
      </c>
      <c r="F27" s="153">
        <v>0.03</v>
      </c>
      <c r="G27" s="98">
        <f t="shared" si="0"/>
        <v>0</v>
      </c>
      <c r="H27" s="99">
        <f t="shared" si="1"/>
        <v>273.66666666666669</v>
      </c>
      <c r="I27" s="99">
        <f t="shared" ref="I27:I32" si="2">(C27+G27)/2</f>
        <v>2052.5</v>
      </c>
      <c r="J27" s="100"/>
      <c r="K27" s="94"/>
      <c r="L27" s="58"/>
      <c r="M27" s="58"/>
      <c r="N27" s="58"/>
      <c r="O27" s="58"/>
      <c r="P27" s="58"/>
      <c r="Q27" s="58"/>
      <c r="R27" s="58"/>
      <c r="S27" s="58"/>
      <c r="T27" s="58"/>
      <c r="U27" s="58"/>
      <c r="V27" s="58"/>
      <c r="W27" s="58"/>
      <c r="X27" s="58"/>
      <c r="Y27" s="58"/>
      <c r="Z27" s="58"/>
      <c r="AA27" s="58"/>
    </row>
    <row r="28" spans="1:27" ht="18" customHeight="1" x14ac:dyDescent="0.3">
      <c r="A28" s="54"/>
      <c r="B28" s="64" t="s">
        <v>141</v>
      </c>
      <c r="C28" s="150">
        <v>2270</v>
      </c>
      <c r="D28" s="64">
        <v>20</v>
      </c>
      <c r="E28" s="153">
        <v>0</v>
      </c>
      <c r="F28" s="153">
        <v>0.1</v>
      </c>
      <c r="G28" s="98">
        <f t="shared" si="0"/>
        <v>0</v>
      </c>
      <c r="H28" s="99">
        <f t="shared" si="1"/>
        <v>113.5</v>
      </c>
      <c r="I28" s="99">
        <f t="shared" si="2"/>
        <v>1135</v>
      </c>
      <c r="J28" s="100"/>
      <c r="K28" s="94"/>
      <c r="L28" s="58"/>
      <c r="M28" s="58"/>
      <c r="N28" s="58"/>
      <c r="O28" s="58"/>
      <c r="P28" s="58"/>
      <c r="Q28" s="58"/>
      <c r="R28" s="58"/>
      <c r="S28" s="58"/>
      <c r="T28" s="58"/>
      <c r="U28" s="58"/>
      <c r="V28" s="58"/>
      <c r="W28" s="58"/>
      <c r="X28" s="58"/>
      <c r="Y28" s="58"/>
      <c r="Z28" s="58"/>
      <c r="AA28" s="58"/>
    </row>
    <row r="29" spans="1:27" ht="18" customHeight="1" x14ac:dyDescent="0.3">
      <c r="A29" s="54"/>
      <c r="B29" s="64"/>
      <c r="C29" s="150"/>
      <c r="D29" s="64"/>
      <c r="E29" s="153"/>
      <c r="F29" s="153"/>
      <c r="G29" s="98">
        <f t="shared" si="0"/>
        <v>0</v>
      </c>
      <c r="H29" s="99">
        <f t="shared" si="1"/>
        <v>0</v>
      </c>
      <c r="I29" s="99">
        <f t="shared" si="2"/>
        <v>0</v>
      </c>
      <c r="J29" s="100"/>
      <c r="K29" s="94"/>
      <c r="L29" s="58"/>
      <c r="M29" s="58"/>
      <c r="N29" s="58"/>
      <c r="O29" s="58"/>
      <c r="P29" s="58"/>
      <c r="Q29" s="58"/>
      <c r="R29" s="58"/>
      <c r="S29" s="58"/>
      <c r="T29" s="58"/>
      <c r="U29" s="58"/>
      <c r="V29" s="58"/>
      <c r="W29" s="58"/>
      <c r="X29" s="58"/>
      <c r="Y29" s="58"/>
      <c r="Z29" s="58"/>
      <c r="AA29" s="58"/>
    </row>
    <row r="30" spans="1:27" ht="18" customHeight="1" x14ac:dyDescent="0.3">
      <c r="A30" s="54"/>
      <c r="B30" s="64"/>
      <c r="C30" s="150"/>
      <c r="D30" s="64"/>
      <c r="E30" s="153"/>
      <c r="F30" s="153"/>
      <c r="G30" s="98">
        <f t="shared" si="0"/>
        <v>0</v>
      </c>
      <c r="H30" s="99">
        <f t="shared" si="1"/>
        <v>0</v>
      </c>
      <c r="I30" s="99">
        <f t="shared" si="2"/>
        <v>0</v>
      </c>
      <c r="J30" s="100"/>
      <c r="K30" s="94"/>
      <c r="L30" s="58"/>
      <c r="M30" s="58"/>
      <c r="N30" s="58"/>
      <c r="O30" s="58"/>
      <c r="P30" s="58"/>
      <c r="Q30" s="58"/>
      <c r="R30" s="58"/>
      <c r="S30" s="58"/>
      <c r="T30" s="58"/>
      <c r="U30" s="58"/>
      <c r="V30" s="58"/>
      <c r="W30" s="58"/>
      <c r="X30" s="58"/>
      <c r="Y30" s="58"/>
      <c r="Z30" s="58"/>
      <c r="AA30" s="58"/>
    </row>
    <row r="31" spans="1:27" ht="18" customHeight="1" x14ac:dyDescent="0.3">
      <c r="A31" s="54"/>
      <c r="B31" s="64"/>
      <c r="C31" s="150"/>
      <c r="D31" s="64"/>
      <c r="E31" s="153"/>
      <c r="F31" s="153"/>
      <c r="G31" s="98">
        <f t="shared" si="0"/>
        <v>0</v>
      </c>
      <c r="H31" s="99">
        <f t="shared" si="1"/>
        <v>0</v>
      </c>
      <c r="I31" s="99">
        <f t="shared" si="2"/>
        <v>0</v>
      </c>
      <c r="J31" s="100"/>
      <c r="K31" s="94"/>
      <c r="L31" s="58"/>
      <c r="M31" s="58"/>
      <c r="N31" s="58"/>
      <c r="O31" s="58"/>
      <c r="P31" s="58"/>
      <c r="Q31" s="58"/>
      <c r="R31" s="58"/>
      <c r="S31" s="58"/>
      <c r="T31" s="58"/>
      <c r="U31" s="58"/>
      <c r="V31" s="58"/>
      <c r="W31" s="58"/>
      <c r="X31" s="58"/>
      <c r="Y31" s="58"/>
      <c r="Z31" s="58"/>
      <c r="AA31" s="58"/>
    </row>
    <row r="32" spans="1:27" ht="18" customHeight="1" x14ac:dyDescent="0.3">
      <c r="A32" s="54"/>
      <c r="B32" s="64"/>
      <c r="C32" s="150"/>
      <c r="D32" s="64"/>
      <c r="E32" s="154"/>
      <c r="F32" s="154"/>
      <c r="G32" s="98">
        <f t="shared" si="0"/>
        <v>0</v>
      </c>
      <c r="H32" s="99">
        <f t="shared" si="1"/>
        <v>0</v>
      </c>
      <c r="I32" s="99">
        <f t="shared" si="2"/>
        <v>0</v>
      </c>
      <c r="J32" s="100"/>
      <c r="K32" s="94"/>
      <c r="L32" s="58"/>
      <c r="M32" s="58"/>
      <c r="N32" s="58"/>
      <c r="O32" s="58"/>
      <c r="P32" s="58"/>
      <c r="Q32" s="58"/>
      <c r="R32" s="58"/>
      <c r="S32" s="58"/>
      <c r="T32" s="58"/>
      <c r="U32" s="58"/>
      <c r="V32" s="58"/>
      <c r="W32" s="58"/>
      <c r="X32" s="58"/>
      <c r="Y32" s="58"/>
      <c r="Z32" s="58"/>
      <c r="AA32" s="58"/>
    </row>
    <row r="33" spans="1:27" ht="18" customHeight="1" x14ac:dyDescent="0.3">
      <c r="A33" s="54"/>
      <c r="B33" s="101" t="s">
        <v>1</v>
      </c>
      <c r="C33" s="102">
        <f>SUM(C26:C32)</f>
        <v>11755</v>
      </c>
      <c r="D33" s="87"/>
      <c r="E33" s="87"/>
      <c r="F33" s="99"/>
      <c r="G33" s="103">
        <f>SUM(G26:G32)</f>
        <v>0</v>
      </c>
      <c r="H33" s="103">
        <f>SUM(H26:H32)</f>
        <v>745.83333333333337</v>
      </c>
      <c r="I33" s="103">
        <f>SUM(I26:I32)</f>
        <v>5877.5</v>
      </c>
      <c r="J33" s="104"/>
      <c r="K33" s="94"/>
      <c r="L33" s="58"/>
      <c r="M33" s="58"/>
      <c r="N33" s="58"/>
      <c r="O33" s="58"/>
      <c r="P33" s="58"/>
      <c r="Q33" s="58"/>
      <c r="R33" s="58"/>
      <c r="S33" s="58"/>
      <c r="T33" s="58"/>
      <c r="U33" s="58"/>
      <c r="V33" s="58"/>
      <c r="W33" s="58"/>
      <c r="X33" s="58"/>
      <c r="Y33" s="58"/>
      <c r="Z33" s="58"/>
      <c r="AA33" s="58"/>
    </row>
    <row r="34" spans="1:27" ht="18" customHeight="1" thickBot="1" x14ac:dyDescent="0.35">
      <c r="A34" s="54"/>
      <c r="B34" s="105"/>
      <c r="C34" s="106"/>
      <c r="D34" s="65"/>
      <c r="E34" s="58"/>
      <c r="F34" s="94"/>
      <c r="G34" s="83"/>
      <c r="H34" s="83"/>
      <c r="I34" s="83"/>
      <c r="J34" s="93"/>
      <c r="K34" s="94"/>
      <c r="L34" s="58"/>
      <c r="M34" s="58"/>
      <c r="N34" s="58"/>
      <c r="O34" s="58"/>
      <c r="P34" s="58"/>
      <c r="Q34" s="58"/>
      <c r="R34" s="58"/>
      <c r="S34" s="58"/>
      <c r="T34" s="58"/>
      <c r="U34" s="58"/>
      <c r="V34" s="58"/>
      <c r="W34" s="58"/>
      <c r="X34" s="58"/>
      <c r="Y34" s="58"/>
      <c r="Z34" s="58"/>
      <c r="AA34" s="58"/>
    </row>
    <row r="35" spans="1:27" ht="18" customHeight="1" thickBot="1" x14ac:dyDescent="0.35">
      <c r="B35" s="107" t="s">
        <v>73</v>
      </c>
      <c r="C35" s="60" t="s">
        <v>30</v>
      </c>
      <c r="D35" s="60" t="s">
        <v>9</v>
      </c>
      <c r="E35" s="61"/>
      <c r="F35" s="62"/>
      <c r="G35" s="83"/>
      <c r="H35" s="83"/>
      <c r="I35" s="83"/>
      <c r="J35" s="93"/>
      <c r="K35" s="94"/>
      <c r="L35" s="58"/>
      <c r="M35" s="58"/>
      <c r="N35" s="58"/>
      <c r="O35" s="58"/>
      <c r="P35" s="58"/>
      <c r="Q35" s="58"/>
      <c r="R35" s="58"/>
      <c r="S35" s="58"/>
      <c r="T35" s="58"/>
      <c r="U35" s="58"/>
      <c r="V35" s="58"/>
      <c r="W35" s="58"/>
      <c r="X35" s="58"/>
      <c r="Y35" s="58"/>
      <c r="Z35" s="58"/>
      <c r="AA35" s="58"/>
    </row>
    <row r="36" spans="1:27" ht="18" customHeight="1" x14ac:dyDescent="0.3">
      <c r="B36" s="63" t="s">
        <v>83</v>
      </c>
      <c r="C36" s="108">
        <v>8.5000000000000006E-2</v>
      </c>
      <c r="D36" s="109" t="s">
        <v>79</v>
      </c>
      <c r="E36" s="58"/>
      <c r="F36" s="58"/>
      <c r="G36" s="54"/>
      <c r="H36" s="54"/>
      <c r="I36" s="54"/>
      <c r="J36" s="54"/>
      <c r="K36" s="58"/>
      <c r="L36" s="58"/>
      <c r="M36" s="58"/>
      <c r="N36" s="58"/>
      <c r="O36" s="58"/>
      <c r="P36" s="58"/>
      <c r="Q36" s="58"/>
      <c r="R36" s="58"/>
      <c r="S36" s="58"/>
      <c r="T36" s="58"/>
      <c r="U36" s="58"/>
      <c r="V36" s="58"/>
      <c r="W36" s="58"/>
      <c r="X36" s="58"/>
      <c r="Y36" s="58"/>
      <c r="Z36" s="58"/>
      <c r="AA36" s="58"/>
    </row>
    <row r="37" spans="1:27" ht="18" customHeight="1" x14ac:dyDescent="0.3">
      <c r="B37" s="63" t="s">
        <v>41</v>
      </c>
      <c r="C37" s="110">
        <v>2.5000000000000001E-3</v>
      </c>
      <c r="D37" s="109" t="s">
        <v>79</v>
      </c>
      <c r="E37" s="58"/>
      <c r="F37" s="58"/>
      <c r="G37" s="54"/>
      <c r="H37" s="54"/>
      <c r="I37" s="54"/>
      <c r="J37" s="54"/>
      <c r="K37" s="58"/>
      <c r="L37" s="58"/>
      <c r="M37" s="58"/>
      <c r="N37" s="58"/>
      <c r="O37" s="58"/>
      <c r="P37" s="58"/>
      <c r="Q37" s="58"/>
      <c r="R37" s="58"/>
      <c r="S37" s="58"/>
      <c r="T37" s="58"/>
      <c r="U37" s="58"/>
      <c r="V37" s="58"/>
      <c r="W37" s="58"/>
      <c r="X37" s="58"/>
      <c r="Y37" s="58"/>
      <c r="Z37" s="58"/>
      <c r="AA37" s="58"/>
    </row>
    <row r="38" spans="1:27" ht="18" customHeight="1" x14ac:dyDescent="0.3">
      <c r="B38" s="63" t="s">
        <v>40</v>
      </c>
      <c r="C38" s="110">
        <v>5.0000000000000001E-3</v>
      </c>
      <c r="D38" s="109" t="s">
        <v>79</v>
      </c>
      <c r="E38" s="58"/>
      <c r="F38" s="58"/>
      <c r="G38" s="54"/>
      <c r="H38" s="54"/>
      <c r="I38" s="54"/>
      <c r="J38" s="54"/>
      <c r="K38" s="58"/>
      <c r="L38" s="58"/>
      <c r="M38" s="58"/>
      <c r="N38" s="58"/>
      <c r="O38" s="58"/>
      <c r="P38" s="58"/>
      <c r="Q38" s="58"/>
      <c r="R38" s="58"/>
      <c r="S38" s="58"/>
      <c r="T38" s="58"/>
      <c r="U38" s="58"/>
      <c r="V38" s="58"/>
      <c r="W38" s="58"/>
      <c r="X38" s="58"/>
      <c r="Y38" s="58"/>
      <c r="Z38" s="58"/>
      <c r="AA38" s="58"/>
    </row>
    <row r="39" spans="1:27" ht="18" customHeight="1" x14ac:dyDescent="0.3">
      <c r="B39" s="111"/>
      <c r="C39" s="112"/>
      <c r="D39" s="112">
        <v>11</v>
      </c>
      <c r="E39" s="58"/>
      <c r="F39" s="58"/>
      <c r="G39" s="54"/>
      <c r="H39" s="54"/>
      <c r="I39" s="54"/>
      <c r="J39" s="54"/>
      <c r="K39" s="58"/>
      <c r="L39" s="58"/>
      <c r="M39" s="58"/>
      <c r="N39" s="58"/>
      <c r="O39" s="58"/>
      <c r="P39" s="58"/>
      <c r="Q39" s="58"/>
      <c r="R39" s="58"/>
      <c r="S39" s="58"/>
      <c r="T39" s="58"/>
      <c r="U39" s="58"/>
      <c r="V39" s="58"/>
      <c r="W39" s="58"/>
      <c r="X39" s="58"/>
      <c r="Y39" s="58"/>
      <c r="Z39" s="58"/>
      <c r="AA39" s="58"/>
    </row>
    <row r="40" spans="1:27" ht="18" customHeight="1" x14ac:dyDescent="0.3">
      <c r="B40" s="113" t="s">
        <v>74</v>
      </c>
      <c r="C40" s="114"/>
      <c r="D40" s="65"/>
      <c r="E40" s="58"/>
      <c r="F40" s="58"/>
      <c r="G40" s="54"/>
      <c r="H40" s="54"/>
      <c r="I40" s="54"/>
      <c r="J40" s="54"/>
      <c r="K40" s="58"/>
      <c r="L40" s="58"/>
      <c r="M40" s="58"/>
      <c r="N40" s="58"/>
      <c r="O40" s="58"/>
      <c r="P40" s="58"/>
      <c r="Q40" s="58"/>
      <c r="R40" s="58"/>
      <c r="S40" s="58"/>
      <c r="T40" s="58"/>
      <c r="U40" s="58"/>
      <c r="V40" s="58"/>
      <c r="W40" s="58"/>
      <c r="X40" s="58"/>
      <c r="Y40" s="58"/>
      <c r="Z40" s="58"/>
      <c r="AA40" s="58"/>
    </row>
    <row r="41" spans="1:27" ht="18" customHeight="1" x14ac:dyDescent="0.3">
      <c r="B41" s="57" t="s">
        <v>42</v>
      </c>
      <c r="C41" s="115">
        <v>20</v>
      </c>
      <c r="D41" s="65" t="s">
        <v>6</v>
      </c>
      <c r="E41" s="58"/>
      <c r="F41" s="58"/>
      <c r="G41" s="54"/>
      <c r="H41" s="54"/>
      <c r="I41" s="54"/>
      <c r="J41" s="54"/>
      <c r="K41" s="58"/>
      <c r="L41" s="58"/>
      <c r="M41" s="58"/>
      <c r="N41" s="58"/>
      <c r="O41" s="58"/>
      <c r="P41" s="58"/>
      <c r="Q41" s="58"/>
      <c r="R41" s="58"/>
      <c r="S41" s="58"/>
      <c r="T41" s="58"/>
      <c r="U41" s="58"/>
      <c r="V41" s="58"/>
      <c r="W41" s="58"/>
      <c r="X41" s="58"/>
      <c r="Y41" s="58"/>
      <c r="Z41" s="58"/>
      <c r="AA41" s="58"/>
    </row>
    <row r="42" spans="1:27" ht="18" customHeight="1" x14ac:dyDescent="0.3">
      <c r="B42" s="57" t="s">
        <v>142</v>
      </c>
      <c r="C42" s="116">
        <v>6</v>
      </c>
      <c r="D42" s="65" t="str">
        <f>"total non-pumping hours to irrigate "&amp;LOWER(C8)&amp;" acres"</f>
        <v>total non-pumping hours to irrigate 10 acres</v>
      </c>
      <c r="E42" s="58"/>
      <c r="F42" s="117">
        <f>ROUND(C42+E15,0)</f>
        <v>142</v>
      </c>
      <c r="G42" s="54"/>
      <c r="H42" s="54"/>
      <c r="I42" s="54"/>
      <c r="J42" s="54"/>
      <c r="K42" s="58"/>
      <c r="L42" s="58"/>
      <c r="M42" s="58"/>
      <c r="N42" s="58"/>
      <c r="O42" s="58"/>
      <c r="P42" s="58"/>
      <c r="Q42" s="58"/>
      <c r="R42" s="58"/>
      <c r="S42" s="58"/>
      <c r="T42" s="58"/>
      <c r="U42" s="58"/>
      <c r="V42" s="58"/>
      <c r="W42" s="58"/>
      <c r="X42" s="58"/>
      <c r="Y42" s="58"/>
      <c r="Z42" s="58"/>
      <c r="AA42" s="58"/>
    </row>
    <row r="43" spans="1:27" ht="18" customHeight="1" x14ac:dyDescent="0.3">
      <c r="B43" s="118" t="str">
        <f>"  This system assumes "&amp;ROUND(E15,0)&amp;" hours of pumping and "&amp;LOWER(C42)&amp;" hours of setup/moving for a total of "&amp;LOWER(F42)&amp;" hours to irrigate "&amp;LOWER(C8)&amp;" acres"</f>
        <v xml:space="preserve">  This system assumes 136 hours of pumping and 6 hours of setup/moving for a total of 142 hours to irrigate 10 acres</v>
      </c>
      <c r="C43" s="119"/>
      <c r="D43" s="80"/>
      <c r="E43" s="120"/>
      <c r="F43" s="58"/>
      <c r="G43" s="54"/>
      <c r="H43" s="54"/>
      <c r="I43" s="54"/>
      <c r="J43" s="54"/>
      <c r="K43" s="58"/>
      <c r="L43" s="58"/>
      <c r="M43" s="58"/>
      <c r="N43" s="58"/>
      <c r="O43" s="58"/>
      <c r="P43" s="58"/>
      <c r="Q43" s="58"/>
      <c r="R43" s="58"/>
      <c r="S43" s="58"/>
      <c r="T43" s="58"/>
      <c r="U43" s="58"/>
      <c r="V43" s="58"/>
      <c r="W43" s="58"/>
      <c r="X43" s="58"/>
      <c r="Y43" s="58"/>
      <c r="Z43" s="58"/>
      <c r="AA43" s="58"/>
    </row>
    <row r="44" spans="1:27" ht="18" customHeight="1" x14ac:dyDescent="0.3">
      <c r="B44" s="121"/>
      <c r="C44" s="122"/>
      <c r="D44" s="65"/>
      <c r="E44" s="58"/>
      <c r="F44" s="58"/>
      <c r="G44" s="54"/>
      <c r="H44" s="54"/>
      <c r="I44" s="54"/>
      <c r="J44" s="54"/>
      <c r="K44" s="58"/>
      <c r="L44" s="58"/>
      <c r="M44" s="58"/>
      <c r="N44" s="58"/>
      <c r="O44" s="58"/>
      <c r="P44" s="58"/>
      <c r="Q44" s="58"/>
      <c r="R44" s="58"/>
      <c r="S44" s="58"/>
      <c r="T44" s="58"/>
      <c r="U44" s="58"/>
      <c r="V44" s="58"/>
      <c r="W44" s="58"/>
      <c r="X44" s="58"/>
      <c r="Y44" s="58"/>
      <c r="Z44" s="58"/>
      <c r="AA44" s="58"/>
    </row>
    <row r="45" spans="1:27" ht="18" customHeight="1" x14ac:dyDescent="0.3">
      <c r="B45" s="113" t="s">
        <v>78</v>
      </c>
      <c r="C45" s="123"/>
      <c r="D45" s="58"/>
      <c r="E45" s="94"/>
      <c r="F45" s="94"/>
      <c r="G45" s="94"/>
      <c r="H45" s="94"/>
      <c r="I45" s="124"/>
      <c r="J45" s="93"/>
      <c r="K45" s="93"/>
      <c r="L45" s="93"/>
    </row>
    <row r="46" spans="1:27" ht="18" customHeight="1" x14ac:dyDescent="0.3">
      <c r="B46" s="57" t="s">
        <v>77</v>
      </c>
      <c r="C46" s="125" t="s">
        <v>10</v>
      </c>
      <c r="D46" s="65" t="s">
        <v>11</v>
      </c>
      <c r="E46" s="93"/>
      <c r="F46" s="93"/>
      <c r="G46" s="93"/>
      <c r="H46" s="93"/>
      <c r="I46" s="93"/>
      <c r="J46" s="93"/>
      <c r="K46" s="93"/>
      <c r="L46" s="93"/>
    </row>
    <row r="47" spans="1:27" ht="17.25" x14ac:dyDescent="0.3">
      <c r="B47" s="57" t="str">
        <f>"  Cost of "&amp;LOWER(C46)&amp;""</f>
        <v xml:space="preserve">  Cost of electricity</v>
      </c>
      <c r="C47" s="126">
        <v>0.13</v>
      </c>
      <c r="D47" s="127" t="str">
        <f>IF(C46="Diesel Fuel", "dollars/gallon", "$/kWh")</f>
        <v>$/kWh</v>
      </c>
      <c r="E47" s="93"/>
      <c r="F47" s="93"/>
      <c r="G47" s="93"/>
      <c r="H47" s="93"/>
      <c r="I47" s="93"/>
      <c r="J47" s="93"/>
      <c r="K47" s="93"/>
      <c r="L47" s="93"/>
    </row>
    <row r="48" spans="1:27" ht="17.25" x14ac:dyDescent="0.3">
      <c r="B48" s="57" t="s">
        <v>84</v>
      </c>
      <c r="C48" s="128">
        <v>75</v>
      </c>
      <c r="D48" s="65" t="s">
        <v>8</v>
      </c>
      <c r="E48" s="129"/>
      <c r="F48" s="129"/>
      <c r="G48" s="93"/>
      <c r="H48" s="93"/>
      <c r="I48" s="93"/>
      <c r="J48" s="93"/>
      <c r="K48" s="93"/>
      <c r="L48" s="93"/>
    </row>
    <row r="49" spans="2:12" ht="17.25" x14ac:dyDescent="0.3">
      <c r="B49" s="57" t="s">
        <v>153</v>
      </c>
      <c r="C49" s="64">
        <v>37</v>
      </c>
      <c r="D49" s="65" t="s">
        <v>116</v>
      </c>
      <c r="E49" s="93"/>
      <c r="F49" s="93"/>
      <c r="G49" s="93"/>
      <c r="H49" s="93"/>
      <c r="I49" s="93"/>
      <c r="J49" s="93"/>
      <c r="K49" s="93"/>
      <c r="L49" s="93"/>
    </row>
    <row r="50" spans="2:12" ht="17.25" x14ac:dyDescent="0.3">
      <c r="B50" s="57" t="s">
        <v>138</v>
      </c>
      <c r="C50" s="130">
        <f>(C15*(C48+C49*2.31))/(3960*0.6)</f>
        <v>3.3768939393939394</v>
      </c>
      <c r="D50" s="65" t="s">
        <v>137</v>
      </c>
      <c r="E50" s="93"/>
      <c r="F50" s="93"/>
      <c r="G50" s="93"/>
      <c r="H50" s="93"/>
      <c r="I50" s="93"/>
      <c r="J50" s="93"/>
      <c r="K50" s="93"/>
      <c r="L50" s="93"/>
    </row>
    <row r="51" spans="2:12" ht="17.25" x14ac:dyDescent="0.3">
      <c r="B51" s="131" t="s">
        <v>75</v>
      </c>
      <c r="C51" s="114">
        <f>IF(C46="Diesel Fuel",(C50*0.044*C47),(C50*0.76*C47))</f>
        <v>0.33363712121212125</v>
      </c>
      <c r="D51" s="65" t="s">
        <v>6</v>
      </c>
      <c r="E51" s="93"/>
      <c r="F51" s="93"/>
      <c r="G51" s="93"/>
      <c r="H51" s="93"/>
      <c r="I51" s="93"/>
      <c r="J51" s="93"/>
      <c r="K51" s="93"/>
      <c r="L51" s="93"/>
    </row>
    <row r="52" spans="2:12" ht="17.25" x14ac:dyDescent="0.3">
      <c r="B52" s="113" t="s">
        <v>119</v>
      </c>
      <c r="C52" s="74"/>
      <c r="D52" s="65"/>
      <c r="E52" s="93"/>
      <c r="F52" s="93"/>
      <c r="G52" s="93"/>
      <c r="H52" s="93"/>
      <c r="I52" s="93"/>
      <c r="J52" s="93"/>
      <c r="K52" s="93"/>
      <c r="L52" s="93"/>
    </row>
    <row r="53" spans="2:12" ht="17.25" x14ac:dyDescent="0.3">
      <c r="B53" s="57" t="s">
        <v>77</v>
      </c>
      <c r="C53" s="125" t="s">
        <v>12</v>
      </c>
      <c r="D53" s="65" t="s">
        <v>11</v>
      </c>
      <c r="E53" s="93"/>
      <c r="F53" s="93"/>
      <c r="G53" s="93"/>
      <c r="H53" s="93"/>
      <c r="I53" s="93"/>
      <c r="J53" s="93"/>
      <c r="K53" s="93"/>
      <c r="L53" s="93"/>
    </row>
    <row r="54" spans="2:12" ht="17.25" x14ac:dyDescent="0.3">
      <c r="B54" s="57" t="str">
        <f>"  Cost of "&amp;LOWER(C53)&amp;""</f>
        <v xml:space="preserve">  Cost of diesel fuel</v>
      </c>
      <c r="C54" s="126">
        <v>4</v>
      </c>
      <c r="D54" s="65" t="str">
        <f>IF(C53="Diesel fuel", "dollars/gallon", "$/kWh")</f>
        <v>dollars/gallon</v>
      </c>
      <c r="E54" s="93"/>
      <c r="F54" s="93"/>
      <c r="G54" s="93"/>
      <c r="H54" s="93"/>
      <c r="I54" s="93"/>
      <c r="J54" s="93"/>
      <c r="K54" s="93"/>
      <c r="L54" s="93"/>
    </row>
    <row r="55" spans="2:12" ht="17.25" x14ac:dyDescent="0.3">
      <c r="B55" s="57" t="s">
        <v>118</v>
      </c>
      <c r="C55" s="128">
        <v>200</v>
      </c>
      <c r="D55" s="65" t="s">
        <v>8</v>
      </c>
      <c r="E55" s="93"/>
      <c r="F55" s="93"/>
      <c r="G55" s="93"/>
      <c r="H55" s="93"/>
      <c r="I55" s="93"/>
      <c r="J55" s="93"/>
      <c r="K55" s="93"/>
      <c r="L55" s="93"/>
    </row>
    <row r="56" spans="2:12" ht="17.25" x14ac:dyDescent="0.3">
      <c r="B56" s="57" t="s">
        <v>108</v>
      </c>
      <c r="C56" s="64">
        <v>40</v>
      </c>
      <c r="D56" s="65" t="s">
        <v>116</v>
      </c>
    </row>
    <row r="57" spans="2:12" ht="17.25" x14ac:dyDescent="0.3">
      <c r="B57" s="57" t="s">
        <v>138</v>
      </c>
      <c r="C57" s="70">
        <f>IF(C53="Diesel Fuel",(C18*(C55+C56*2.31))/(3960*0.6),((C18*(C55+C56*2.31))/(3960*0.6)))</f>
        <v>1.845959595959596</v>
      </c>
      <c r="D57" s="65" t="s">
        <v>137</v>
      </c>
    </row>
    <row r="58" spans="2:12" ht="17.25" x14ac:dyDescent="0.3">
      <c r="B58" s="131" t="s">
        <v>76</v>
      </c>
      <c r="C58" s="114">
        <f>IF(C53="Diesel Fuel",(C57*0.044*C54),(C57*0.76*C54))</f>
        <v>0.32488888888888889</v>
      </c>
      <c r="D58" s="65" t="s">
        <v>6</v>
      </c>
    </row>
  </sheetData>
  <sheetProtection sheet="1" objects="1" scenarios="1"/>
  <mergeCells count="2">
    <mergeCell ref="B2:F2"/>
    <mergeCell ref="B24:B25"/>
  </mergeCells>
  <conditionalFormatting sqref="B52:D58">
    <cfRule type="expression" dxfId="11" priority="8">
      <formula>$C$17=$G$18</formula>
    </cfRule>
  </conditionalFormatting>
  <conditionalFormatting sqref="E18">
    <cfRule type="expression" dxfId="10" priority="29">
      <formula>C18&gt;#REF!</formula>
    </cfRule>
  </conditionalFormatting>
  <conditionalFormatting sqref="B18:D18">
    <cfRule type="expression" dxfId="9" priority="1">
      <formula>$C$17=$G$18</formula>
    </cfRule>
  </conditionalFormatting>
  <dataValidations count="4">
    <dataValidation type="list" allowBlank="1" showInputMessage="1" showErrorMessage="1" sqref="C46" xr:uid="{00000000-0002-0000-0100-000000000000}">
      <formula1>H8:H9</formula1>
    </dataValidation>
    <dataValidation type="list" allowBlank="1" showInputMessage="1" showErrorMessage="1" sqref="C40" xr:uid="{00000000-0002-0000-0100-000001000000}">
      <formula1>H9:H10</formula1>
    </dataValidation>
    <dataValidation type="list" allowBlank="1" showInputMessage="1" showErrorMessage="1" sqref="C53" xr:uid="{00000000-0002-0000-0100-000002000000}">
      <formula1>H8:H9</formula1>
    </dataValidation>
    <dataValidation type="list" allowBlank="1" showInputMessage="1" showErrorMessage="1" sqref="C17" xr:uid="{00000000-0002-0000-0100-000003000000}">
      <formula1>$G$17:$G$18</formula1>
    </dataValidation>
  </dataValidations>
  <pageMargins left="0.7" right="0.7" top="0.75" bottom="0.75" header="0.3" footer="0.3"/>
  <pageSetup scale="63" orientation="portrait" r:id="rId1"/>
  <ignoredErrors>
    <ignoredError sqref="C11"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8"/>
  <sheetViews>
    <sheetView showGridLines="0" zoomScaleNormal="100" workbookViewId="0">
      <selection activeCell="G20" sqref="G20"/>
    </sheetView>
  </sheetViews>
  <sheetFormatPr defaultColWidth="9.140625" defaultRowHeight="16.5" x14ac:dyDescent="0.3"/>
  <cols>
    <col min="1" max="1" width="2.5703125" style="53" customWidth="1"/>
    <col min="2" max="2" width="47" style="53" customWidth="1"/>
    <col min="3" max="5" width="18.7109375" style="53" customWidth="1"/>
    <col min="6" max="6" width="15" style="53" customWidth="1"/>
    <col min="7" max="7" width="19.140625" style="53" customWidth="1"/>
    <col min="8" max="8" width="15.42578125" style="53" customWidth="1"/>
    <col min="9" max="9" width="17" style="53" customWidth="1"/>
    <col min="10" max="10" width="18" style="53" customWidth="1"/>
    <col min="11" max="11" width="12.7109375" style="53" customWidth="1"/>
    <col min="12" max="12" width="13.5703125" style="53" customWidth="1"/>
    <col min="13" max="14" width="9.140625" style="53"/>
    <col min="15" max="15" width="11.85546875" style="53" customWidth="1"/>
    <col min="16" max="16384" width="9.140625" style="53"/>
  </cols>
  <sheetData>
    <row r="1" spans="1:27" ht="17.25" thickBot="1" x14ac:dyDescent="0.35"/>
    <row r="2" spans="1:27" ht="26.25" thickBot="1" x14ac:dyDescent="0.55000000000000004">
      <c r="A2" s="54"/>
      <c r="B2" s="55" t="s">
        <v>87</v>
      </c>
      <c r="C2" s="56"/>
      <c r="D2" s="56"/>
      <c r="E2" s="134"/>
      <c r="F2" s="156"/>
      <c r="G2" s="156"/>
      <c r="H2" s="54"/>
      <c r="I2" s="54"/>
      <c r="J2" s="54"/>
      <c r="K2" s="54"/>
      <c r="L2" s="54"/>
    </row>
    <row r="3" spans="1:27" ht="17.25" x14ac:dyDescent="0.3">
      <c r="A3" s="54"/>
      <c r="B3" s="157"/>
      <c r="C3" s="57"/>
      <c r="D3" s="57"/>
      <c r="E3" s="58"/>
      <c r="F3" s="54"/>
      <c r="G3" s="54"/>
      <c r="H3" s="54"/>
      <c r="I3" s="54"/>
      <c r="J3" s="54"/>
      <c r="K3" s="54"/>
      <c r="L3" s="54"/>
    </row>
    <row r="4" spans="1:27" ht="18" customHeight="1" x14ac:dyDescent="0.3">
      <c r="A4" s="54"/>
      <c r="B4" s="57" t="str">
        <f>Input!B8</f>
        <v xml:space="preserve">  Total acres irrigated in system </v>
      </c>
      <c r="C4" s="158">
        <f>Input!C8</f>
        <v>10</v>
      </c>
      <c r="D4" s="159" t="s">
        <v>4</v>
      </c>
      <c r="E4" s="58"/>
      <c r="F4" s="54"/>
      <c r="G4" s="54"/>
      <c r="H4" s="54"/>
      <c r="I4" s="54"/>
      <c r="J4" s="54"/>
      <c r="K4" s="54"/>
      <c r="L4" s="54"/>
    </row>
    <row r="5" spans="1:27" ht="18" customHeight="1" x14ac:dyDescent="0.3">
      <c r="A5" s="54"/>
      <c r="B5" s="57" t="str">
        <f>Input!B11</f>
        <v xml:space="preserve">  Water applied per year</v>
      </c>
      <c r="C5" s="158">
        <f>Input!C11</f>
        <v>15</v>
      </c>
      <c r="D5" s="159" t="s">
        <v>33</v>
      </c>
      <c r="E5" s="58"/>
      <c r="F5" s="54"/>
      <c r="G5" s="54"/>
      <c r="H5" s="54"/>
      <c r="I5" s="54"/>
      <c r="J5" s="54"/>
      <c r="K5" s="54"/>
      <c r="L5" s="54"/>
    </row>
    <row r="6" spans="1:27" ht="18" customHeight="1" thickBot="1" x14ac:dyDescent="0.35">
      <c r="A6" s="54"/>
      <c r="B6" s="57"/>
      <c r="C6" s="160"/>
      <c r="D6" s="159"/>
      <c r="E6" s="58"/>
      <c r="F6" s="54"/>
      <c r="G6" s="54"/>
      <c r="H6" s="54"/>
      <c r="I6" s="54"/>
      <c r="J6" s="54"/>
      <c r="K6" s="54"/>
      <c r="L6" s="54"/>
    </row>
    <row r="7" spans="1:27" ht="18" customHeight="1" thickBot="1" x14ac:dyDescent="0.35">
      <c r="A7" s="87"/>
      <c r="B7" s="59" t="s">
        <v>47</v>
      </c>
      <c r="C7" s="60" t="s">
        <v>25</v>
      </c>
      <c r="D7" s="60" t="s">
        <v>26</v>
      </c>
      <c r="E7" s="66" t="s">
        <v>27</v>
      </c>
      <c r="F7" s="161"/>
      <c r="G7" s="54"/>
      <c r="H7" s="54"/>
      <c r="I7" s="54"/>
      <c r="J7" s="54"/>
      <c r="K7" s="58"/>
      <c r="L7" s="58"/>
      <c r="M7" s="58"/>
      <c r="N7" s="58"/>
      <c r="O7" s="58"/>
      <c r="P7" s="162"/>
      <c r="Q7" s="162"/>
      <c r="R7" s="162"/>
      <c r="S7" s="162"/>
      <c r="T7" s="162"/>
      <c r="U7" s="162"/>
      <c r="V7" s="162"/>
      <c r="W7" s="163"/>
      <c r="X7" s="58"/>
      <c r="Y7" s="162"/>
      <c r="Z7" s="162"/>
      <c r="AA7" s="58"/>
    </row>
    <row r="8" spans="1:27" ht="18" customHeight="1" x14ac:dyDescent="0.3">
      <c r="B8" s="164" t="s">
        <v>34</v>
      </c>
      <c r="C8" s="58"/>
      <c r="D8" s="58"/>
      <c r="E8" s="58"/>
      <c r="F8" s="161"/>
      <c r="G8" s="54"/>
      <c r="H8" s="54"/>
      <c r="I8" s="54"/>
      <c r="J8" s="54"/>
      <c r="K8" s="58"/>
      <c r="L8" s="58"/>
      <c r="M8" s="58"/>
      <c r="N8" s="58"/>
      <c r="O8" s="58"/>
      <c r="P8" s="162"/>
      <c r="Q8" s="162"/>
      <c r="R8" s="162"/>
      <c r="S8" s="162"/>
      <c r="T8" s="162"/>
      <c r="U8" s="162"/>
      <c r="V8" s="162"/>
      <c r="W8" s="163"/>
      <c r="X8" s="58"/>
      <c r="Y8" s="162"/>
      <c r="Z8" s="162"/>
      <c r="AA8" s="58"/>
    </row>
    <row r="9" spans="1:27" ht="18" customHeight="1" x14ac:dyDescent="0.3">
      <c r="B9" s="58" t="s">
        <v>28</v>
      </c>
      <c r="C9" s="165">
        <f>Input!H33</f>
        <v>745.83333333333337</v>
      </c>
      <c r="D9" s="166">
        <f>C9/Input!$C$8</f>
        <v>74.583333333333343</v>
      </c>
      <c r="E9" s="166">
        <f>C9/Input!$C$22</f>
        <v>7.4583333333333339</v>
      </c>
      <c r="F9" s="161"/>
      <c r="G9" s="54"/>
      <c r="H9" s="54"/>
      <c r="I9" s="54"/>
      <c r="J9" s="54"/>
      <c r="K9" s="58"/>
      <c r="L9" s="58"/>
      <c r="M9" s="58"/>
      <c r="N9" s="58"/>
      <c r="O9" s="58"/>
      <c r="P9" s="162"/>
      <c r="Q9" s="162"/>
      <c r="R9" s="162"/>
      <c r="S9" s="162"/>
      <c r="T9" s="162"/>
      <c r="U9" s="162"/>
      <c r="V9" s="162"/>
      <c r="W9" s="163"/>
      <c r="X9" s="58"/>
      <c r="Y9" s="162"/>
      <c r="Z9" s="162"/>
      <c r="AA9" s="58"/>
    </row>
    <row r="10" spans="1:27" ht="18" customHeight="1" x14ac:dyDescent="0.3">
      <c r="B10" s="58" t="s">
        <v>69</v>
      </c>
      <c r="C10" s="165">
        <f>Input!I33*Input!C36</f>
        <v>499.58750000000003</v>
      </c>
      <c r="D10" s="166">
        <f>C10/Input!$C$8</f>
        <v>49.958750000000002</v>
      </c>
      <c r="E10" s="166">
        <f>C10/Input!$C$22</f>
        <v>4.9958750000000007</v>
      </c>
      <c r="F10" s="161"/>
      <c r="G10" s="54"/>
      <c r="H10" s="54"/>
      <c r="I10" s="54"/>
      <c r="J10" s="54"/>
      <c r="K10" s="58"/>
      <c r="L10" s="58"/>
      <c r="M10" s="58"/>
      <c r="N10" s="58"/>
      <c r="O10" s="58"/>
      <c r="P10" s="162"/>
      <c r="Q10" s="162"/>
      <c r="R10" s="162"/>
      <c r="S10" s="162"/>
      <c r="T10" s="162"/>
      <c r="U10" s="162"/>
      <c r="V10" s="162"/>
      <c r="W10" s="163"/>
      <c r="X10" s="58"/>
      <c r="Y10" s="162"/>
      <c r="Z10" s="162"/>
      <c r="AA10" s="58"/>
    </row>
    <row r="11" spans="1:27" ht="18" customHeight="1" x14ac:dyDescent="0.3">
      <c r="B11" s="58" t="s">
        <v>36</v>
      </c>
      <c r="C11" s="165">
        <f>Input!I33*Input!C37</f>
        <v>14.69375</v>
      </c>
      <c r="D11" s="166">
        <f>C11/Input!$C$8</f>
        <v>1.4693749999999999</v>
      </c>
      <c r="E11" s="166">
        <f>C11/Input!$C$22</f>
        <v>0.1469375</v>
      </c>
      <c r="F11" s="161"/>
      <c r="G11" s="54"/>
      <c r="H11" s="54"/>
      <c r="I11" s="54"/>
      <c r="J11" s="54"/>
      <c r="K11" s="58"/>
      <c r="L11" s="58"/>
      <c r="M11" s="58"/>
      <c r="N11" s="58"/>
      <c r="O11" s="58"/>
      <c r="P11" s="162"/>
      <c r="Q11" s="162"/>
      <c r="R11" s="162"/>
      <c r="S11" s="162"/>
      <c r="T11" s="162"/>
      <c r="U11" s="162"/>
      <c r="V11" s="162"/>
      <c r="W11" s="163"/>
      <c r="X11" s="58"/>
      <c r="Y11" s="162"/>
      <c r="Z11" s="162"/>
      <c r="AA11" s="58"/>
    </row>
    <row r="12" spans="1:27" ht="18" customHeight="1" x14ac:dyDescent="0.3">
      <c r="B12" s="58" t="s">
        <v>35</v>
      </c>
      <c r="C12" s="165">
        <f>Input!I33*Input!C38</f>
        <v>29.387499999999999</v>
      </c>
      <c r="D12" s="166">
        <f>C12/Input!$C$8</f>
        <v>2.9387499999999998</v>
      </c>
      <c r="E12" s="166">
        <f>C12/Input!$C$22</f>
        <v>0.293875</v>
      </c>
      <c r="F12" s="161"/>
      <c r="G12" s="54"/>
      <c r="H12" s="54"/>
      <c r="I12" s="54"/>
      <c r="J12" s="54"/>
      <c r="K12" s="58"/>
      <c r="L12" s="58"/>
      <c r="M12" s="58"/>
      <c r="N12" s="58"/>
      <c r="O12" s="58"/>
      <c r="P12" s="162"/>
      <c r="Q12" s="162"/>
      <c r="R12" s="162"/>
      <c r="S12" s="162"/>
      <c r="T12" s="162"/>
      <c r="U12" s="162"/>
      <c r="V12" s="162"/>
      <c r="W12" s="163"/>
      <c r="X12" s="58"/>
      <c r="Y12" s="162"/>
      <c r="Z12" s="162"/>
      <c r="AA12" s="58"/>
    </row>
    <row r="13" spans="1:27" ht="18" customHeight="1" x14ac:dyDescent="0.3">
      <c r="B13" s="167" t="s">
        <v>29</v>
      </c>
      <c r="C13" s="166">
        <f>SUM(C9:C12)</f>
        <v>1289.5020833333333</v>
      </c>
      <c r="D13" s="166">
        <f>SUM(D9:D12)</f>
        <v>128.95020833333336</v>
      </c>
      <c r="E13" s="166">
        <f>SUM(E9:E12)</f>
        <v>12.895020833333334</v>
      </c>
      <c r="F13" s="161"/>
      <c r="G13" s="54"/>
      <c r="H13" s="54"/>
      <c r="I13" s="54"/>
      <c r="J13" s="54"/>
      <c r="K13" s="58"/>
      <c r="L13" s="58"/>
      <c r="M13" s="58"/>
      <c r="N13" s="58"/>
      <c r="O13" s="58"/>
      <c r="P13" s="162"/>
      <c r="Q13" s="162"/>
      <c r="R13" s="162"/>
      <c r="S13" s="162"/>
      <c r="T13" s="162"/>
      <c r="U13" s="162"/>
      <c r="V13" s="162"/>
      <c r="W13" s="163"/>
      <c r="X13" s="58"/>
      <c r="Y13" s="162"/>
      <c r="Z13" s="162"/>
      <c r="AA13" s="58"/>
    </row>
    <row r="14" spans="1:27" ht="18" customHeight="1" x14ac:dyDescent="0.3">
      <c r="B14" s="58"/>
      <c r="C14" s="166"/>
      <c r="D14" s="166"/>
      <c r="E14" s="166"/>
      <c r="F14" s="161"/>
      <c r="G14" s="54"/>
      <c r="H14" s="54"/>
      <c r="I14" s="54"/>
      <c r="J14" s="54"/>
      <c r="K14" s="58"/>
      <c r="L14" s="58"/>
      <c r="M14" s="58"/>
      <c r="N14" s="58"/>
      <c r="O14" s="58"/>
      <c r="P14" s="162"/>
      <c r="Q14" s="162"/>
      <c r="R14" s="162"/>
      <c r="S14" s="162"/>
      <c r="T14" s="162"/>
      <c r="U14" s="162"/>
      <c r="V14" s="162"/>
      <c r="W14" s="163"/>
      <c r="X14" s="58"/>
      <c r="Y14" s="162"/>
      <c r="Z14" s="162"/>
      <c r="AA14" s="58"/>
    </row>
    <row r="15" spans="1:27" ht="18" customHeight="1" x14ac:dyDescent="0.3">
      <c r="B15" s="164" t="s">
        <v>0</v>
      </c>
      <c r="C15" s="166"/>
      <c r="D15" s="166"/>
      <c r="E15" s="166"/>
      <c r="F15" s="161"/>
      <c r="G15" s="54"/>
      <c r="H15" s="54"/>
      <c r="I15" s="54"/>
      <c r="J15" s="54"/>
      <c r="K15" s="58"/>
      <c r="L15" s="58"/>
      <c r="M15" s="58"/>
      <c r="N15" s="58"/>
      <c r="O15" s="58"/>
      <c r="P15" s="162"/>
      <c r="Q15" s="162"/>
      <c r="R15" s="162"/>
      <c r="S15" s="162"/>
      <c r="T15" s="162"/>
      <c r="U15" s="162"/>
      <c r="V15" s="162"/>
      <c r="W15" s="163"/>
      <c r="X15" s="58"/>
      <c r="Y15" s="162"/>
      <c r="Z15" s="162"/>
      <c r="AA15" s="58"/>
    </row>
    <row r="16" spans="1:27" ht="18" customHeight="1" x14ac:dyDescent="0.3">
      <c r="B16" s="58" t="s">
        <v>37</v>
      </c>
      <c r="C16" s="168">
        <f>Input!C41*Input!C42*Input!C10</f>
        <v>1200</v>
      </c>
      <c r="D16" s="166">
        <f>C16/Input!$C$8</f>
        <v>120</v>
      </c>
      <c r="E16" s="166">
        <f>C16/Input!$C$22</f>
        <v>12</v>
      </c>
      <c r="F16" s="161"/>
      <c r="G16" s="54"/>
      <c r="H16" s="54"/>
      <c r="I16" s="54"/>
      <c r="J16" s="54"/>
      <c r="K16" s="58"/>
      <c r="L16" s="58"/>
      <c r="M16" s="58"/>
      <c r="N16" s="58"/>
      <c r="O16" s="58"/>
      <c r="P16" s="162"/>
      <c r="Q16" s="162"/>
      <c r="R16" s="162"/>
      <c r="S16" s="162"/>
      <c r="T16" s="162"/>
      <c r="U16" s="162"/>
      <c r="V16" s="162"/>
      <c r="W16" s="163"/>
      <c r="X16" s="58"/>
      <c r="Y16" s="162"/>
      <c r="Z16" s="162"/>
      <c r="AA16" s="58"/>
    </row>
    <row r="17" spans="1:27" ht="18" customHeight="1" x14ac:dyDescent="0.3">
      <c r="B17" s="58" t="s">
        <v>68</v>
      </c>
      <c r="C17" s="165">
        <f>SUMPRODUCT(Input!F26:F32,Input!I26:I32)</f>
        <v>255.77500000000001</v>
      </c>
      <c r="D17" s="166">
        <f>C17/Input!$C$8</f>
        <v>25.577500000000001</v>
      </c>
      <c r="E17" s="166">
        <f>C17/Input!$C$22</f>
        <v>2.55775</v>
      </c>
      <c r="F17" s="161"/>
      <c r="G17" s="54"/>
      <c r="H17" s="54"/>
      <c r="I17" s="54"/>
      <c r="J17" s="54"/>
      <c r="K17" s="58"/>
      <c r="L17" s="58"/>
      <c r="M17" s="58"/>
      <c r="N17" s="58"/>
      <c r="O17" s="58"/>
      <c r="P17" s="162"/>
      <c r="Q17" s="162"/>
      <c r="R17" s="162"/>
      <c r="S17" s="162"/>
      <c r="T17" s="162"/>
      <c r="U17" s="162"/>
      <c r="V17" s="162"/>
      <c r="W17" s="163"/>
      <c r="X17" s="58"/>
      <c r="Y17" s="162"/>
      <c r="Z17" s="162"/>
      <c r="AA17" s="58"/>
    </row>
    <row r="18" spans="1:27" ht="18" customHeight="1" x14ac:dyDescent="0.3">
      <c r="B18" s="58" t="s">
        <v>135</v>
      </c>
      <c r="C18" s="168">
        <f>(Input!E11/(Input!C15*60))*Input!C51</f>
        <v>452.97911946969703</v>
      </c>
      <c r="D18" s="166">
        <f>C18/Input!$C$8</f>
        <v>45.297911946969705</v>
      </c>
      <c r="E18" s="166">
        <f>C18/Input!$C$22</f>
        <v>4.52979119469697</v>
      </c>
      <c r="F18" s="161"/>
      <c r="G18" s="77"/>
      <c r="H18" s="54"/>
      <c r="I18" s="54"/>
      <c r="J18" s="54"/>
      <c r="K18" s="58"/>
      <c r="L18" s="58"/>
      <c r="M18" s="58"/>
      <c r="N18" s="58"/>
      <c r="O18" s="58"/>
      <c r="P18" s="162"/>
      <c r="Q18" s="162"/>
      <c r="R18" s="162"/>
      <c r="S18" s="162"/>
      <c r="T18" s="162"/>
      <c r="U18" s="162"/>
      <c r="V18" s="162"/>
      <c r="W18" s="163"/>
      <c r="X18" s="58"/>
      <c r="Y18" s="162"/>
      <c r="Z18" s="162"/>
      <c r="AA18" s="58"/>
    </row>
    <row r="19" spans="1:27" ht="18" customHeight="1" x14ac:dyDescent="0.3">
      <c r="B19" s="58" t="s">
        <v>134</v>
      </c>
      <c r="C19" s="168">
        <f>IF(Input!C17="Yes",(Input!E11/(Input!C18*60))*Input!C58,0)</f>
        <v>0</v>
      </c>
      <c r="D19" s="166">
        <f>C19/Input!$C$8</f>
        <v>0</v>
      </c>
      <c r="E19" s="166">
        <f>C19/Input!$C$22</f>
        <v>0</v>
      </c>
      <c r="F19" s="161"/>
      <c r="G19" s="77"/>
      <c r="H19" s="54"/>
      <c r="I19" s="54"/>
      <c r="J19" s="54"/>
      <c r="K19" s="58"/>
      <c r="L19" s="58"/>
      <c r="M19" s="58"/>
      <c r="N19" s="58"/>
      <c r="O19" s="58"/>
      <c r="P19" s="162"/>
      <c r="Q19" s="162"/>
      <c r="R19" s="162"/>
      <c r="S19" s="162"/>
      <c r="T19" s="162"/>
      <c r="U19" s="162"/>
      <c r="V19" s="162"/>
      <c r="W19" s="163"/>
      <c r="X19" s="58"/>
      <c r="Y19" s="162"/>
      <c r="Z19" s="162"/>
      <c r="AA19" s="58"/>
    </row>
    <row r="20" spans="1:27" ht="18" customHeight="1" x14ac:dyDescent="0.3">
      <c r="B20" s="167" t="s">
        <v>38</v>
      </c>
      <c r="C20" s="166">
        <f>SUM(C16:C19)</f>
        <v>1908.7541194696971</v>
      </c>
      <c r="D20" s="166">
        <f>SUM(D16:D19)</f>
        <v>190.87541194696968</v>
      </c>
      <c r="E20" s="166">
        <f>SUM(E16:E19)</f>
        <v>19.087541194696971</v>
      </c>
      <c r="F20" s="161"/>
      <c r="G20" s="54"/>
      <c r="H20" s="54"/>
      <c r="I20" s="54"/>
      <c r="J20" s="54"/>
      <c r="K20" s="58"/>
      <c r="L20" s="58"/>
      <c r="M20" s="58"/>
      <c r="N20" s="58"/>
      <c r="O20" s="58"/>
      <c r="P20" s="162"/>
      <c r="Q20" s="162"/>
      <c r="R20" s="162"/>
      <c r="S20" s="162"/>
      <c r="T20" s="162"/>
      <c r="U20" s="162"/>
      <c r="V20" s="162"/>
      <c r="W20" s="163"/>
      <c r="X20" s="58"/>
      <c r="Y20" s="162"/>
      <c r="Z20" s="162"/>
      <c r="AA20" s="58"/>
    </row>
    <row r="21" spans="1:27" ht="18" customHeight="1" x14ac:dyDescent="0.3">
      <c r="B21" s="58"/>
      <c r="C21" s="166"/>
      <c r="D21" s="166"/>
      <c r="E21" s="166"/>
      <c r="F21" s="161"/>
      <c r="G21" s="54"/>
      <c r="H21" s="54"/>
      <c r="I21" s="54"/>
      <c r="J21" s="54"/>
      <c r="K21" s="58"/>
      <c r="L21" s="58"/>
      <c r="M21" s="58"/>
      <c r="N21" s="58"/>
      <c r="O21" s="58"/>
      <c r="P21" s="162"/>
      <c r="Q21" s="162"/>
      <c r="R21" s="162"/>
      <c r="S21" s="162"/>
      <c r="T21" s="162"/>
      <c r="U21" s="162"/>
      <c r="V21" s="162"/>
      <c r="W21" s="163"/>
      <c r="X21" s="58"/>
      <c r="Y21" s="162"/>
      <c r="Z21" s="162"/>
      <c r="AA21" s="58"/>
    </row>
    <row r="22" spans="1:27" ht="18" customHeight="1" x14ac:dyDescent="0.3">
      <c r="B22" s="167" t="s">
        <v>43</v>
      </c>
      <c r="C22" s="166">
        <f>C13+C20</f>
        <v>3198.2562028030306</v>
      </c>
      <c r="D22" s="166">
        <f>D13+D20</f>
        <v>319.82562028030304</v>
      </c>
      <c r="E22" s="166">
        <f>E13+E20</f>
        <v>31.982562028030305</v>
      </c>
      <c r="F22" s="161"/>
      <c r="G22" s="54"/>
      <c r="H22" s="54"/>
      <c r="I22" s="54"/>
      <c r="J22" s="54"/>
      <c r="K22" s="58"/>
      <c r="L22" s="58"/>
      <c r="M22" s="58"/>
      <c r="N22" s="58"/>
      <c r="O22" s="58"/>
      <c r="P22" s="162"/>
      <c r="Q22" s="162"/>
      <c r="R22" s="162"/>
      <c r="S22" s="162"/>
      <c r="T22" s="162"/>
      <c r="U22" s="162"/>
      <c r="V22" s="162"/>
      <c r="W22" s="163"/>
      <c r="X22" s="58"/>
      <c r="Y22" s="162"/>
      <c r="Z22" s="162"/>
      <c r="AA22" s="58"/>
    </row>
    <row r="23" spans="1:27" ht="18" customHeight="1" thickBot="1" x14ac:dyDescent="0.35">
      <c r="B23" s="167" t="s">
        <v>147</v>
      </c>
      <c r="C23" s="169">
        <f>(Input!C12*Input!C6)/Input!C33</f>
        <v>0.57422373458102938</v>
      </c>
      <c r="D23" s="166"/>
      <c r="E23" s="168"/>
      <c r="F23" s="93"/>
      <c r="G23" s="93"/>
      <c r="H23" s="93"/>
      <c r="I23" s="93"/>
      <c r="J23" s="93"/>
      <c r="K23" s="94"/>
      <c r="L23" s="94"/>
      <c r="M23" s="58"/>
      <c r="N23" s="58"/>
      <c r="O23" s="58"/>
      <c r="P23" s="162"/>
      <c r="Q23" s="162"/>
      <c r="R23" s="162"/>
      <c r="S23" s="162"/>
      <c r="T23" s="162"/>
      <c r="U23" s="162"/>
      <c r="V23" s="162"/>
      <c r="W23" s="163"/>
      <c r="X23" s="58"/>
      <c r="Y23" s="162"/>
      <c r="Z23" s="162"/>
      <c r="AA23" s="58"/>
    </row>
    <row r="24" spans="1:27" ht="18" customHeight="1" thickBot="1" x14ac:dyDescent="0.35">
      <c r="B24" s="59" t="s">
        <v>45</v>
      </c>
      <c r="C24" s="60" t="s">
        <v>30</v>
      </c>
      <c r="D24" s="60" t="s">
        <v>9</v>
      </c>
      <c r="E24" s="66"/>
      <c r="F24" s="93"/>
      <c r="G24" s="93"/>
      <c r="H24" s="93"/>
      <c r="I24" s="93"/>
      <c r="J24" s="93"/>
      <c r="K24" s="94"/>
      <c r="L24" s="94"/>
      <c r="M24" s="58"/>
      <c r="N24" s="58"/>
      <c r="O24" s="58"/>
      <c r="P24" s="162"/>
      <c r="Q24" s="162"/>
      <c r="R24" s="162"/>
      <c r="S24" s="162"/>
      <c r="T24" s="162"/>
      <c r="U24" s="162"/>
      <c r="V24" s="162"/>
      <c r="W24" s="163"/>
      <c r="X24" s="58"/>
      <c r="Y24" s="162"/>
      <c r="Z24" s="162"/>
      <c r="AA24" s="58"/>
    </row>
    <row r="25" spans="1:27" ht="18" customHeight="1" x14ac:dyDescent="0.3">
      <c r="B25" s="170" t="s">
        <v>44</v>
      </c>
      <c r="C25" s="171">
        <f>C22/Input!C12</f>
        <v>71.072360062289576</v>
      </c>
      <c r="D25" s="109" t="s">
        <v>85</v>
      </c>
      <c r="E25" s="168"/>
      <c r="F25" s="93"/>
      <c r="G25" s="93"/>
      <c r="H25" s="93"/>
      <c r="I25" s="93"/>
      <c r="J25" s="93"/>
      <c r="K25" s="94"/>
      <c r="L25" s="94"/>
      <c r="M25" s="58"/>
      <c r="N25" s="58"/>
      <c r="O25" s="58"/>
      <c r="P25" s="162"/>
      <c r="Q25" s="162"/>
      <c r="R25" s="162"/>
      <c r="S25" s="162"/>
      <c r="T25" s="162"/>
      <c r="U25" s="162"/>
      <c r="V25" s="162"/>
      <c r="W25" s="163"/>
      <c r="X25" s="58"/>
      <c r="Y25" s="162"/>
      <c r="Z25" s="162"/>
      <c r="AA25" s="58"/>
    </row>
    <row r="26" spans="1:27" ht="18" customHeight="1" x14ac:dyDescent="0.3">
      <c r="B26" s="170" t="s">
        <v>46</v>
      </c>
      <c r="C26" s="171">
        <f>C25/2000</f>
        <v>3.5536180031144789E-2</v>
      </c>
      <c r="D26" s="109" t="s">
        <v>86</v>
      </c>
      <c r="E26" s="94"/>
      <c r="F26" s="93"/>
      <c r="G26" s="93"/>
      <c r="H26" s="93"/>
      <c r="I26" s="93"/>
      <c r="J26" s="93"/>
      <c r="K26" s="94"/>
      <c r="L26" s="94"/>
      <c r="M26" s="58"/>
      <c r="N26" s="58"/>
      <c r="O26" s="58"/>
      <c r="P26" s="162"/>
      <c r="Q26" s="162"/>
      <c r="R26" s="162"/>
      <c r="S26" s="162"/>
      <c r="T26" s="162"/>
      <c r="U26" s="162"/>
      <c r="V26" s="162"/>
      <c r="W26" s="163"/>
      <c r="X26" s="58"/>
      <c r="Y26" s="162"/>
      <c r="Z26" s="162"/>
      <c r="AA26" s="58"/>
    </row>
    <row r="27" spans="1:27" ht="18" customHeight="1" x14ac:dyDescent="0.3">
      <c r="A27" s="172"/>
      <c r="B27" s="170" t="s">
        <v>89</v>
      </c>
      <c r="C27" s="171">
        <f>C26/Input!C21</f>
        <v>5.0765971473063984E-2</v>
      </c>
      <c r="D27" s="109" t="s">
        <v>86</v>
      </c>
      <c r="E27" s="94"/>
      <c r="F27" s="93"/>
      <c r="G27" s="93"/>
      <c r="H27" s="93"/>
      <c r="I27" s="93"/>
      <c r="J27" s="93"/>
      <c r="K27" s="173"/>
      <c r="L27" s="173"/>
      <c r="M27" s="58"/>
      <c r="N27" s="58"/>
      <c r="O27" s="58"/>
      <c r="P27" s="162"/>
      <c r="Q27" s="162"/>
      <c r="R27" s="162"/>
      <c r="S27" s="162"/>
      <c r="T27" s="162"/>
      <c r="U27" s="162"/>
      <c r="V27" s="162"/>
      <c r="W27" s="58"/>
      <c r="X27" s="58"/>
      <c r="Y27" s="58"/>
      <c r="Z27" s="58"/>
      <c r="AA27" s="58"/>
    </row>
    <row r="28" spans="1:27" ht="18" customHeight="1" x14ac:dyDescent="0.3">
      <c r="D28" s="58"/>
      <c r="E28" s="93"/>
      <c r="F28" s="93"/>
      <c r="G28" s="93"/>
      <c r="H28" s="93"/>
      <c r="I28" s="93"/>
      <c r="J28" s="93"/>
      <c r="K28" s="93"/>
      <c r="L28" s="93"/>
    </row>
    <row r="29" spans="1:27" ht="18" customHeight="1" x14ac:dyDescent="0.3">
      <c r="E29" s="94"/>
      <c r="F29" s="94"/>
      <c r="G29" s="94"/>
      <c r="H29" s="94"/>
      <c r="I29" s="124"/>
      <c r="J29" s="93"/>
      <c r="K29" s="93"/>
      <c r="L29" s="93"/>
    </row>
    <row r="30" spans="1:27" ht="18" customHeight="1" x14ac:dyDescent="0.3">
      <c r="E30" s="93"/>
      <c r="F30" s="93"/>
      <c r="G30" s="93"/>
      <c r="H30" s="93"/>
      <c r="I30" s="93"/>
      <c r="J30" s="93"/>
      <c r="K30" s="93"/>
      <c r="L30" s="93"/>
    </row>
    <row r="31" spans="1:27" x14ac:dyDescent="0.3">
      <c r="E31" s="93"/>
      <c r="F31" s="93"/>
      <c r="G31" s="93"/>
      <c r="H31" s="93"/>
      <c r="I31" s="93"/>
      <c r="J31" s="93"/>
      <c r="K31" s="93"/>
      <c r="L31" s="93"/>
    </row>
    <row r="32" spans="1:27" ht="17.25" x14ac:dyDescent="0.3">
      <c r="E32" s="129"/>
      <c r="F32" s="129"/>
      <c r="G32" s="93"/>
      <c r="H32" s="93"/>
      <c r="I32" s="93"/>
      <c r="J32" s="93"/>
      <c r="K32" s="93"/>
      <c r="L32" s="93"/>
    </row>
    <row r="33" spans="5:12" x14ac:dyDescent="0.3">
      <c r="E33" s="93"/>
      <c r="F33" s="93"/>
      <c r="G33" s="93"/>
      <c r="H33" s="93"/>
      <c r="I33" s="93"/>
      <c r="J33" s="93"/>
      <c r="K33" s="93"/>
      <c r="L33" s="93"/>
    </row>
    <row r="34" spans="5:12" x14ac:dyDescent="0.3">
      <c r="E34" s="93"/>
      <c r="F34" s="93"/>
      <c r="G34" s="93"/>
      <c r="H34" s="93"/>
      <c r="I34" s="93"/>
      <c r="J34" s="93"/>
      <c r="K34" s="93"/>
      <c r="L34" s="93"/>
    </row>
    <row r="35" spans="5:12" x14ac:dyDescent="0.3">
      <c r="E35" s="93"/>
      <c r="F35" s="93"/>
      <c r="G35" s="93"/>
      <c r="H35" s="93"/>
      <c r="I35" s="93"/>
      <c r="J35" s="93"/>
      <c r="K35" s="93"/>
      <c r="L35" s="93"/>
    </row>
    <row r="36" spans="5:12" x14ac:dyDescent="0.3">
      <c r="E36" s="93"/>
      <c r="F36" s="93"/>
      <c r="G36" s="93"/>
      <c r="H36" s="93"/>
      <c r="I36" s="93"/>
      <c r="J36" s="93"/>
      <c r="K36" s="93"/>
      <c r="L36" s="93"/>
    </row>
    <row r="37" spans="5:12" x14ac:dyDescent="0.3">
      <c r="E37" s="93"/>
      <c r="F37" s="93"/>
      <c r="G37" s="93"/>
      <c r="H37" s="93"/>
      <c r="I37" s="93"/>
      <c r="J37" s="93"/>
      <c r="K37" s="93"/>
      <c r="L37" s="93"/>
    </row>
    <row r="38" spans="5:12" x14ac:dyDescent="0.3">
      <c r="E38" s="93"/>
      <c r="F38" s="93"/>
      <c r="G38" s="93"/>
      <c r="H38" s="93"/>
      <c r="I38" s="93"/>
      <c r="J38" s="93"/>
      <c r="K38" s="93"/>
      <c r="L38" s="93"/>
    </row>
  </sheetData>
  <sheetProtection sheet="1" objects="1" scenarios="1"/>
  <mergeCells count="1">
    <mergeCell ref="B2:E2"/>
  </mergeCells>
  <conditionalFormatting sqref="B19:E19">
    <cfRule type="expression" dxfId="8" priority="1">
      <formula>$C$19=0</formula>
    </cfRule>
  </conditionalFormatting>
  <pageMargins left="0.7" right="0.7" top="0.75" bottom="0.75" header="0.3" footer="0.3"/>
  <pageSetup scale="96" orientation="portrait" r:id="rId1"/>
  <ignoredErrors>
    <ignoredError sqref="C4:C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27"/>
  <sheetViews>
    <sheetView showGridLines="0" workbookViewId="0">
      <selection activeCell="H25" sqref="H25"/>
    </sheetView>
  </sheetViews>
  <sheetFormatPr defaultColWidth="9.140625" defaultRowHeight="18" x14ac:dyDescent="0.35"/>
  <cols>
    <col min="1" max="1" width="4" style="1" customWidth="1"/>
    <col min="2" max="2" width="31.140625" style="1" customWidth="1"/>
    <col min="3" max="3" width="9.28515625" style="1" customWidth="1"/>
    <col min="4" max="4" width="11.28515625" style="1" customWidth="1"/>
    <col min="5" max="5" width="8.85546875" style="1" customWidth="1"/>
    <col min="6" max="6" width="11.5703125" style="1" customWidth="1"/>
    <col min="7" max="7" width="9.140625" style="1"/>
    <col min="8" max="8" width="34.28515625" style="1" customWidth="1"/>
    <col min="9" max="9" width="9.140625" style="1" customWidth="1"/>
    <col min="10" max="10" width="6.85546875" style="1" customWidth="1"/>
    <col min="11" max="16384" width="9.140625" style="1"/>
  </cols>
  <sheetData>
    <row r="1" spans="2:7" ht="18.75" thickBot="1" x14ac:dyDescent="0.4"/>
    <row r="2" spans="2:7" ht="23.25" thickBot="1" x14ac:dyDescent="0.45">
      <c r="B2" s="47" t="s">
        <v>19</v>
      </c>
      <c r="C2" s="48"/>
      <c r="D2" s="48"/>
      <c r="E2" s="48"/>
      <c r="F2" s="49"/>
    </row>
    <row r="3" spans="2:7" ht="22.5" x14ac:dyDescent="0.4">
      <c r="B3" s="36" t="s">
        <v>101</v>
      </c>
      <c r="C3" s="28"/>
      <c r="D3" s="28"/>
      <c r="E3" s="28"/>
      <c r="F3" s="28"/>
    </row>
    <row r="4" spans="2:7" ht="23.25" thickBot="1" x14ac:dyDescent="0.45">
      <c r="B4" s="36"/>
      <c r="C4" s="28"/>
      <c r="D4" s="28"/>
      <c r="E4" s="28"/>
      <c r="F4" s="28"/>
    </row>
    <row r="5" spans="2:7" ht="18.75" thickBot="1" x14ac:dyDescent="0.4">
      <c r="B5" s="50"/>
      <c r="C5" s="51" t="s">
        <v>30</v>
      </c>
      <c r="D5" s="51" t="s">
        <v>49</v>
      </c>
      <c r="E5" s="51" t="s">
        <v>30</v>
      </c>
      <c r="F5" s="52" t="s">
        <v>49</v>
      </c>
    </row>
    <row r="6" spans="2:7" x14ac:dyDescent="0.35">
      <c r="B6" s="20" t="s">
        <v>48</v>
      </c>
      <c r="C6" s="17">
        <v>50</v>
      </c>
      <c r="D6" s="19" t="s">
        <v>31</v>
      </c>
      <c r="E6" s="20"/>
      <c r="F6" s="20"/>
    </row>
    <row r="7" spans="2:7" x14ac:dyDescent="0.35">
      <c r="B7" s="11" t="s">
        <v>51</v>
      </c>
      <c r="C7" s="22">
        <v>1554</v>
      </c>
      <c r="D7" s="19" t="s">
        <v>7</v>
      </c>
      <c r="E7" s="20"/>
      <c r="F7" s="20"/>
    </row>
    <row r="8" spans="2:7" x14ac:dyDescent="0.35">
      <c r="B8" s="11" t="s">
        <v>52</v>
      </c>
      <c r="C8" s="22">
        <v>15</v>
      </c>
      <c r="D8" s="19" t="s">
        <v>7</v>
      </c>
      <c r="E8" s="21">
        <f>C8/2.31</f>
        <v>6.4935064935064934</v>
      </c>
      <c r="F8" s="19" t="s">
        <v>16</v>
      </c>
    </row>
    <row r="9" spans="2:7" x14ac:dyDescent="0.35">
      <c r="B9" s="11" t="s">
        <v>53</v>
      </c>
      <c r="C9" s="22">
        <v>0</v>
      </c>
      <c r="D9" s="19" t="s">
        <v>7</v>
      </c>
      <c r="E9" s="20"/>
      <c r="F9" s="19"/>
    </row>
    <row r="10" spans="2:7" x14ac:dyDescent="0.35">
      <c r="B10" s="11" t="s">
        <v>54</v>
      </c>
      <c r="C10" s="22">
        <v>85</v>
      </c>
      <c r="D10" s="19" t="s">
        <v>7</v>
      </c>
      <c r="E10" s="21">
        <f>C10/2.31</f>
        <v>36.796536796536799</v>
      </c>
      <c r="F10" s="19" t="s">
        <v>16</v>
      </c>
      <c r="G10" s="1" t="s">
        <v>148</v>
      </c>
    </row>
    <row r="11" spans="2:7" x14ac:dyDescent="0.35">
      <c r="B11" s="11" t="s">
        <v>55</v>
      </c>
      <c r="C11" s="22">
        <v>75</v>
      </c>
      <c r="D11" s="19" t="s">
        <v>7</v>
      </c>
      <c r="E11" s="20"/>
      <c r="F11" s="20"/>
    </row>
    <row r="12" spans="2:7" x14ac:dyDescent="0.35">
      <c r="B12" s="11"/>
      <c r="C12" s="43"/>
      <c r="D12" s="19"/>
      <c r="E12" s="20"/>
      <c r="F12" s="20"/>
    </row>
    <row r="13" spans="2:7" ht="18.75" thickBot="1" x14ac:dyDescent="0.4">
      <c r="B13" s="5" t="s">
        <v>18</v>
      </c>
      <c r="C13" s="20"/>
      <c r="D13" s="20"/>
      <c r="E13" s="20"/>
      <c r="F13" s="20"/>
    </row>
    <row r="14" spans="2:7" ht="18.75" thickBot="1" x14ac:dyDescent="0.4">
      <c r="B14" s="50"/>
      <c r="C14" s="51" t="s">
        <v>30</v>
      </c>
      <c r="D14" s="51" t="s">
        <v>49</v>
      </c>
      <c r="E14" s="51" t="s">
        <v>30</v>
      </c>
      <c r="F14" s="52" t="s">
        <v>49</v>
      </c>
    </row>
    <row r="15" spans="2:7" x14ac:dyDescent="0.35">
      <c r="B15" s="20" t="s">
        <v>50</v>
      </c>
      <c r="C15" s="17">
        <v>2</v>
      </c>
      <c r="D15" s="19" t="s">
        <v>5</v>
      </c>
      <c r="E15" s="20"/>
      <c r="F15" s="20"/>
    </row>
    <row r="16" spans="2:7" x14ac:dyDescent="0.35">
      <c r="B16" s="20" t="s">
        <v>56</v>
      </c>
      <c r="C16" s="21">
        <f xml:space="preserve"> (10.44*C6^1.852 * C7)/(140^1.852 * C15^4.871)</f>
        <v>82.35647128690114</v>
      </c>
      <c r="D16" s="19" t="s">
        <v>7</v>
      </c>
      <c r="E16" s="20"/>
      <c r="F16" s="20"/>
    </row>
    <row r="17" spans="2:6" x14ac:dyDescent="0.35">
      <c r="B17" s="5" t="s">
        <v>57</v>
      </c>
      <c r="C17" s="21">
        <f>C10+C11+C16-C8-C9</f>
        <v>227.35647128690113</v>
      </c>
      <c r="D17" s="19" t="s">
        <v>7</v>
      </c>
      <c r="E17" s="21">
        <f>C17/2.31</f>
        <v>98.422714842814344</v>
      </c>
      <c r="F17" s="20" t="s">
        <v>16</v>
      </c>
    </row>
    <row r="18" spans="2:6" x14ac:dyDescent="0.35">
      <c r="B18" s="5" t="s">
        <v>58</v>
      </c>
      <c r="C18" s="23">
        <f>C6*C17/(3960*0.6)</f>
        <v>4.7844375270812529</v>
      </c>
      <c r="D18" s="19" t="s">
        <v>60</v>
      </c>
      <c r="E18" s="20"/>
      <c r="F18" s="20"/>
    </row>
    <row r="19" spans="2:6" x14ac:dyDescent="0.35">
      <c r="B19" s="5"/>
      <c r="C19" s="23"/>
      <c r="D19" s="19"/>
      <c r="E19" s="20"/>
      <c r="F19" s="20"/>
    </row>
    <row r="20" spans="2:6" ht="18.75" thickBot="1" x14ac:dyDescent="0.4">
      <c r="B20" s="30" t="s">
        <v>17</v>
      </c>
      <c r="C20" s="20"/>
      <c r="D20" s="20"/>
      <c r="E20" s="20"/>
      <c r="F20" s="20"/>
    </row>
    <row r="21" spans="2:6" ht="18.75" thickBot="1" x14ac:dyDescent="0.4">
      <c r="B21" s="50"/>
      <c r="C21" s="51" t="s">
        <v>30</v>
      </c>
      <c r="D21" s="51" t="s">
        <v>49</v>
      </c>
      <c r="E21" s="51" t="s">
        <v>30</v>
      </c>
      <c r="F21" s="52" t="s">
        <v>49</v>
      </c>
    </row>
    <row r="22" spans="2:6" x14ac:dyDescent="0.35">
      <c r="B22" s="11" t="s">
        <v>59</v>
      </c>
      <c r="C22" s="22">
        <v>1554</v>
      </c>
      <c r="D22" s="19" t="s">
        <v>7</v>
      </c>
      <c r="E22" s="20"/>
      <c r="F22" s="20"/>
    </row>
    <row r="23" spans="2:6" x14ac:dyDescent="0.35">
      <c r="B23" s="20" t="s">
        <v>62</v>
      </c>
      <c r="C23" s="22">
        <v>227.4</v>
      </c>
      <c r="D23" s="19" t="s">
        <v>7</v>
      </c>
      <c r="E23" s="21">
        <f>C23/2.31</f>
        <v>98.441558441558442</v>
      </c>
      <c r="F23" s="20" t="s">
        <v>16</v>
      </c>
    </row>
    <row r="24" spans="2:6" x14ac:dyDescent="0.35">
      <c r="B24" s="20" t="s">
        <v>63</v>
      </c>
      <c r="C24" s="44">
        <f>C8+C9+C23-C10-C11</f>
        <v>82.4</v>
      </c>
      <c r="D24" s="19" t="s">
        <v>7</v>
      </c>
      <c r="E24" s="20"/>
      <c r="F24" s="20"/>
    </row>
    <row r="25" spans="2:6" x14ac:dyDescent="0.35">
      <c r="B25" s="20" t="s">
        <v>23</v>
      </c>
      <c r="C25" s="20">
        <f>C24/C22*100</f>
        <v>5.3024453024453031</v>
      </c>
      <c r="D25" s="19" t="s">
        <v>7</v>
      </c>
      <c r="E25" s="20"/>
      <c r="F25" s="20"/>
    </row>
    <row r="26" spans="2:6" x14ac:dyDescent="0.35">
      <c r="B26" s="5" t="s">
        <v>61</v>
      </c>
      <c r="C26" s="23">
        <f>IF(C24&lt;=0, "",((10.44*C6^1.852*C22)/(C24*140^1.852))^(1/4.871))</f>
        <v>1.9997830539925197</v>
      </c>
      <c r="D26" s="19" t="s">
        <v>5</v>
      </c>
      <c r="E26" s="20"/>
      <c r="F26" s="20"/>
    </row>
    <row r="27" spans="2:6" x14ac:dyDescent="0.35">
      <c r="B27" s="45" t="s">
        <v>144</v>
      </c>
    </row>
  </sheetData>
  <sheetProtection sheet="1" objects="1" scenarios="1"/>
  <mergeCells count="1">
    <mergeCell ref="B2:F2"/>
  </mergeCells>
  <conditionalFormatting sqref="B27">
    <cfRule type="expression" dxfId="7" priority="1">
      <formula>C24&lt;=0</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33"/>
  <sheetViews>
    <sheetView showGridLines="0" zoomScaleNormal="100" workbookViewId="0">
      <selection activeCell="E28" sqref="E28"/>
    </sheetView>
  </sheetViews>
  <sheetFormatPr defaultColWidth="9.140625" defaultRowHeight="16.5" x14ac:dyDescent="0.3"/>
  <cols>
    <col min="1" max="1" width="2.5703125" style="2" customWidth="1"/>
    <col min="2" max="2" width="67.140625" style="2" customWidth="1"/>
    <col min="3" max="3" width="18.7109375" style="2" customWidth="1"/>
    <col min="4" max="4" width="23.28515625" style="2" customWidth="1"/>
    <col min="5" max="5" width="17.7109375" style="2" customWidth="1"/>
    <col min="6" max="6" width="15.42578125" style="2" customWidth="1"/>
    <col min="7" max="7" width="19.140625" style="2" customWidth="1"/>
    <col min="8" max="8" width="15.42578125" style="2" customWidth="1"/>
    <col min="9" max="9" width="17" style="2" customWidth="1"/>
    <col min="10" max="10" width="18" style="2" customWidth="1"/>
    <col min="11" max="11" width="12.7109375" style="2" customWidth="1"/>
    <col min="12" max="12" width="13.5703125" style="2" customWidth="1"/>
    <col min="13" max="14" width="9.140625" style="2"/>
    <col min="15" max="15" width="11.85546875" style="2" customWidth="1"/>
    <col min="16" max="16384" width="9.140625" style="2"/>
  </cols>
  <sheetData>
    <row r="1" spans="1:27" ht="17.25" thickBot="1" x14ac:dyDescent="0.35"/>
    <row r="2" spans="1:27" ht="23.25" thickBot="1" x14ac:dyDescent="0.45">
      <c r="A2" s="10"/>
      <c r="B2" s="47" t="s">
        <v>136</v>
      </c>
      <c r="C2" s="48"/>
      <c r="D2" s="48"/>
      <c r="E2" s="48"/>
      <c r="F2" s="49"/>
      <c r="G2" s="10"/>
      <c r="H2" s="10"/>
      <c r="I2" s="10"/>
      <c r="J2" s="10"/>
      <c r="K2" s="10"/>
      <c r="L2" s="10"/>
    </row>
    <row r="3" spans="1:27" x14ac:dyDescent="0.3">
      <c r="A3" s="10"/>
      <c r="B3" s="36" t="s">
        <v>101</v>
      </c>
      <c r="C3" s="36"/>
      <c r="D3" s="36"/>
      <c r="E3" s="36"/>
      <c r="F3" s="36"/>
      <c r="G3" s="10"/>
      <c r="H3" s="10"/>
      <c r="I3" s="10"/>
      <c r="J3" s="10"/>
      <c r="K3" s="10"/>
      <c r="L3" s="10"/>
    </row>
    <row r="4" spans="1:27" ht="18" customHeight="1" thickBot="1" x14ac:dyDescent="0.4">
      <c r="A4" s="10"/>
      <c r="B4" s="11"/>
      <c r="C4" s="11"/>
      <c r="D4" s="11"/>
      <c r="E4" s="3"/>
      <c r="F4" s="3"/>
      <c r="G4" s="10"/>
      <c r="H4" s="10"/>
      <c r="I4" s="10"/>
      <c r="J4" s="10"/>
      <c r="K4" s="3"/>
      <c r="L4" s="3"/>
      <c r="M4" s="3"/>
      <c r="N4" s="3"/>
      <c r="O4" s="3"/>
      <c r="P4" s="3"/>
      <c r="Q4" s="3"/>
      <c r="R4" s="3"/>
      <c r="S4" s="3"/>
      <c r="T4" s="3"/>
      <c r="U4" s="3"/>
      <c r="V4" s="3"/>
      <c r="W4" s="3"/>
      <c r="X4" s="3"/>
      <c r="Y4" s="3"/>
      <c r="Z4" s="3"/>
      <c r="AA4" s="3"/>
    </row>
    <row r="5" spans="1:27" ht="18" customHeight="1" thickBot="1" x14ac:dyDescent="0.4">
      <c r="A5" s="10"/>
      <c r="B5" s="50" t="s">
        <v>71</v>
      </c>
      <c r="C5" s="51" t="s">
        <v>30</v>
      </c>
      <c r="D5" s="51" t="s">
        <v>9</v>
      </c>
      <c r="E5" s="51" t="s">
        <v>30</v>
      </c>
      <c r="F5" s="52" t="s">
        <v>9</v>
      </c>
      <c r="G5" s="10"/>
      <c r="H5" s="10"/>
      <c r="I5" s="10"/>
      <c r="J5" s="10"/>
      <c r="K5" s="3"/>
      <c r="L5" s="3"/>
      <c r="M5" s="3"/>
      <c r="N5" s="3"/>
      <c r="O5" s="3"/>
      <c r="P5" s="3"/>
      <c r="Q5" s="3"/>
      <c r="R5" s="3"/>
      <c r="S5" s="3"/>
      <c r="T5" s="3"/>
      <c r="U5" s="3"/>
      <c r="V5" s="3"/>
      <c r="W5" s="3"/>
      <c r="X5" s="3"/>
      <c r="Y5" s="3"/>
      <c r="Z5" s="3"/>
      <c r="AA5" s="3"/>
    </row>
    <row r="6" spans="1:27" ht="18" customHeight="1" x14ac:dyDescent="0.35">
      <c r="A6" s="10"/>
      <c r="B6" s="11" t="s">
        <v>14</v>
      </c>
      <c r="C6" s="18">
        <v>20</v>
      </c>
      <c r="D6" s="12" t="s">
        <v>4</v>
      </c>
      <c r="E6" s="3"/>
      <c r="F6" s="3"/>
      <c r="G6" s="10"/>
      <c r="H6" s="24" t="s">
        <v>12</v>
      </c>
      <c r="I6" s="10"/>
      <c r="J6" s="10"/>
      <c r="K6" s="3"/>
      <c r="L6" s="3"/>
      <c r="M6" s="3"/>
      <c r="N6" s="3"/>
      <c r="O6" s="3"/>
      <c r="P6" s="3"/>
      <c r="Q6" s="3"/>
      <c r="R6" s="3"/>
      <c r="S6" s="3"/>
      <c r="T6" s="3"/>
      <c r="U6" s="3"/>
      <c r="V6" s="3"/>
      <c r="W6" s="3"/>
      <c r="X6" s="3"/>
      <c r="Y6" s="3"/>
      <c r="Z6" s="3"/>
      <c r="AA6" s="3"/>
    </row>
    <row r="7" spans="1:27" ht="18" customHeight="1" x14ac:dyDescent="0.35">
      <c r="A7" s="10"/>
      <c r="B7" s="11" t="s">
        <v>99</v>
      </c>
      <c r="C7" s="41">
        <v>1</v>
      </c>
      <c r="D7" s="12" t="s">
        <v>96</v>
      </c>
      <c r="E7" s="3"/>
      <c r="F7" s="3"/>
      <c r="G7" s="10"/>
      <c r="H7" s="24" t="s">
        <v>10</v>
      </c>
      <c r="I7" s="10"/>
      <c r="J7" s="10"/>
      <c r="K7" s="3"/>
      <c r="L7" s="3"/>
      <c r="M7" s="3"/>
      <c r="N7" s="3"/>
      <c r="O7" s="3"/>
      <c r="P7" s="3"/>
      <c r="Q7" s="3"/>
      <c r="R7" s="3"/>
      <c r="S7" s="3"/>
      <c r="T7" s="3"/>
      <c r="U7" s="3"/>
      <c r="V7" s="3"/>
      <c r="W7" s="3"/>
      <c r="X7" s="3"/>
      <c r="Y7" s="3"/>
      <c r="Z7" s="3"/>
      <c r="AA7" s="3"/>
    </row>
    <row r="8" spans="1:27" ht="18" customHeight="1" x14ac:dyDescent="0.35">
      <c r="A8" s="10"/>
      <c r="B8" s="11" t="s">
        <v>98</v>
      </c>
      <c r="C8" s="18">
        <v>15</v>
      </c>
      <c r="D8" s="12" t="s">
        <v>97</v>
      </c>
      <c r="E8" s="3"/>
      <c r="F8" s="3"/>
      <c r="G8" s="10"/>
      <c r="H8" s="25"/>
      <c r="I8" s="10"/>
      <c r="J8" s="10"/>
      <c r="K8" s="3"/>
      <c r="L8" s="3"/>
      <c r="M8" s="3"/>
      <c r="N8" s="3"/>
      <c r="O8" s="3"/>
      <c r="P8" s="3"/>
      <c r="Q8" s="3"/>
      <c r="R8" s="3"/>
      <c r="S8" s="3"/>
      <c r="T8" s="3"/>
      <c r="U8" s="3"/>
      <c r="V8" s="3"/>
      <c r="W8" s="3"/>
      <c r="X8" s="3"/>
      <c r="Y8" s="3"/>
      <c r="Z8" s="3"/>
      <c r="AA8" s="3"/>
    </row>
    <row r="9" spans="1:27" ht="18" customHeight="1" x14ac:dyDescent="0.35">
      <c r="A9" s="10"/>
      <c r="B9" s="11" t="s">
        <v>94</v>
      </c>
      <c r="C9" s="29">
        <f>C7*C8</f>
        <v>15</v>
      </c>
      <c r="D9" s="12" t="s">
        <v>102</v>
      </c>
      <c r="E9" s="16">
        <f>27154*C9*C6</f>
        <v>8146200</v>
      </c>
      <c r="F9" s="12" t="s">
        <v>92</v>
      </c>
      <c r="G9" s="10"/>
      <c r="H9" s="10"/>
      <c r="I9" s="10"/>
      <c r="J9" s="10"/>
      <c r="K9" s="3"/>
      <c r="L9" s="3"/>
      <c r="M9" s="3"/>
      <c r="N9" s="3"/>
      <c r="O9" s="3"/>
      <c r="P9" s="3"/>
      <c r="Q9" s="3"/>
      <c r="R9" s="3"/>
      <c r="S9" s="3"/>
      <c r="T9" s="3"/>
      <c r="U9" s="3"/>
      <c r="V9" s="3"/>
      <c r="W9" s="3"/>
      <c r="X9" s="3"/>
      <c r="Y9" s="3"/>
      <c r="Z9" s="3"/>
      <c r="AA9" s="3"/>
    </row>
    <row r="10" spans="1:27" ht="18" customHeight="1" x14ac:dyDescent="0.35">
      <c r="A10" s="10"/>
      <c r="B10" s="11" t="s">
        <v>22</v>
      </c>
      <c r="C10" s="42">
        <f>E9/(27154*12)</f>
        <v>25</v>
      </c>
      <c r="D10" s="12" t="s">
        <v>32</v>
      </c>
      <c r="E10" s="16"/>
      <c r="F10" s="12"/>
      <c r="G10" s="10"/>
      <c r="H10" s="10"/>
      <c r="I10" s="10"/>
      <c r="J10" s="10"/>
      <c r="K10" s="3"/>
      <c r="L10" s="3"/>
      <c r="M10" s="3"/>
      <c r="N10" s="3"/>
      <c r="O10" s="3"/>
      <c r="P10" s="3"/>
      <c r="Q10" s="3"/>
      <c r="R10" s="3"/>
      <c r="S10" s="3"/>
      <c r="T10" s="3"/>
      <c r="U10" s="3"/>
      <c r="V10" s="3"/>
      <c r="W10" s="3"/>
      <c r="X10" s="3"/>
      <c r="Y10" s="3"/>
      <c r="Z10" s="3"/>
      <c r="AA10" s="3"/>
    </row>
    <row r="11" spans="1:27" ht="18" customHeight="1" thickBot="1" x14ac:dyDescent="0.4">
      <c r="A11" s="10"/>
      <c r="B11" s="11"/>
      <c r="C11" s="27"/>
      <c r="D11" s="12"/>
      <c r="E11" s="3"/>
      <c r="F11" s="3"/>
      <c r="G11" s="10"/>
      <c r="H11" s="10"/>
      <c r="I11" s="10"/>
      <c r="J11" s="10"/>
      <c r="K11" s="3"/>
      <c r="L11" s="3"/>
      <c r="M11" s="3"/>
      <c r="N11" s="3"/>
      <c r="O11" s="3"/>
      <c r="P11" s="3"/>
      <c r="Q11" s="3"/>
      <c r="R11" s="3"/>
      <c r="S11" s="3"/>
      <c r="T11" s="3"/>
      <c r="U11" s="3"/>
      <c r="V11" s="3"/>
      <c r="W11" s="3"/>
      <c r="X11" s="3"/>
      <c r="Y11" s="3"/>
      <c r="Z11" s="3"/>
      <c r="AA11" s="3"/>
    </row>
    <row r="12" spans="1:27" ht="18" customHeight="1" thickBot="1" x14ac:dyDescent="0.4">
      <c r="A12" s="10"/>
      <c r="B12" s="50" t="s">
        <v>95</v>
      </c>
      <c r="C12" s="51" t="s">
        <v>30</v>
      </c>
      <c r="D12" s="51" t="s">
        <v>9</v>
      </c>
      <c r="E12" s="51" t="s">
        <v>30</v>
      </c>
      <c r="F12" s="52" t="s">
        <v>9</v>
      </c>
      <c r="G12" s="10"/>
      <c r="H12" s="10"/>
      <c r="I12" s="10"/>
      <c r="J12" s="10"/>
      <c r="K12" s="3"/>
      <c r="L12" s="3"/>
      <c r="M12" s="3"/>
      <c r="N12" s="3"/>
      <c r="O12" s="3"/>
      <c r="P12" s="3"/>
      <c r="Q12" s="3"/>
      <c r="R12" s="3"/>
      <c r="S12" s="3"/>
      <c r="T12" s="3"/>
      <c r="U12" s="3"/>
      <c r="V12" s="3"/>
      <c r="W12" s="3"/>
      <c r="X12" s="3"/>
      <c r="Y12" s="3"/>
      <c r="Z12" s="3"/>
      <c r="AA12" s="3"/>
    </row>
    <row r="13" spans="1:27" ht="18" customHeight="1" x14ac:dyDescent="0.35">
      <c r="A13" s="10"/>
      <c r="B13" s="11" t="s">
        <v>103</v>
      </c>
      <c r="C13" s="17">
        <v>12</v>
      </c>
      <c r="D13" s="12" t="s">
        <v>64</v>
      </c>
      <c r="E13" s="17">
        <v>7</v>
      </c>
      <c r="F13" s="12" t="s">
        <v>66</v>
      </c>
      <c r="G13" s="31"/>
      <c r="H13" s="10"/>
      <c r="I13" s="10"/>
      <c r="J13" s="10"/>
      <c r="K13" s="3"/>
      <c r="L13" s="3"/>
      <c r="M13" s="3"/>
      <c r="N13" s="3"/>
      <c r="O13" s="3"/>
      <c r="P13" s="3"/>
      <c r="Q13" s="3"/>
      <c r="R13" s="3"/>
      <c r="S13" s="3"/>
      <c r="T13" s="3"/>
      <c r="U13" s="3"/>
      <c r="V13" s="3"/>
      <c r="W13" s="3"/>
      <c r="X13" s="3"/>
      <c r="Y13" s="3"/>
      <c r="Z13" s="3"/>
      <c r="AA13" s="3"/>
    </row>
    <row r="14" spans="1:27" ht="18" customHeight="1" x14ac:dyDescent="0.35">
      <c r="A14" s="10"/>
      <c r="B14" s="11" t="s">
        <v>100</v>
      </c>
      <c r="C14" s="13">
        <f>((C7*27154)*C6)/(60*C13*E13)</f>
        <v>107.75396825396825</v>
      </c>
      <c r="D14" s="12" t="s">
        <v>117</v>
      </c>
      <c r="G14" s="31"/>
      <c r="H14" s="10"/>
      <c r="I14" s="10"/>
      <c r="J14" s="10"/>
      <c r="K14" s="3"/>
      <c r="L14" s="3"/>
      <c r="M14" s="3"/>
      <c r="N14" s="3"/>
      <c r="O14" s="3"/>
      <c r="P14" s="3"/>
      <c r="Q14" s="3"/>
      <c r="R14" s="3"/>
      <c r="S14" s="3"/>
      <c r="T14" s="3"/>
      <c r="U14" s="3"/>
      <c r="V14" s="3"/>
      <c r="W14" s="3"/>
      <c r="X14" s="3"/>
      <c r="Y14" s="3"/>
      <c r="Z14" s="3"/>
      <c r="AA14" s="3"/>
    </row>
    <row r="15" spans="1:27" ht="18" customHeight="1" x14ac:dyDescent="0.35">
      <c r="A15" s="10"/>
      <c r="B15" s="11" t="s">
        <v>111</v>
      </c>
      <c r="C15" s="174">
        <v>115</v>
      </c>
      <c r="D15" s="12" t="s">
        <v>117</v>
      </c>
      <c r="G15" s="31"/>
      <c r="H15" s="10"/>
      <c r="I15" s="10"/>
      <c r="J15" s="10"/>
      <c r="K15" s="3"/>
      <c r="L15" s="3"/>
      <c r="M15" s="3"/>
      <c r="N15" s="3"/>
      <c r="O15" s="3"/>
      <c r="P15" s="3"/>
      <c r="Q15" s="3"/>
      <c r="R15" s="3"/>
      <c r="S15" s="3"/>
      <c r="T15" s="3"/>
      <c r="U15" s="3"/>
      <c r="V15" s="3"/>
      <c r="W15" s="3"/>
      <c r="X15" s="3"/>
      <c r="Y15" s="3"/>
      <c r="Z15" s="3"/>
      <c r="AA15" s="3"/>
    </row>
    <row r="16" spans="1:27" ht="18" customHeight="1" x14ac:dyDescent="0.35">
      <c r="A16" s="10"/>
      <c r="B16" s="11" t="s">
        <v>110</v>
      </c>
      <c r="C16" s="40">
        <f>C7*C6/E13/60/C15*27154</f>
        <v>11.243892339544514</v>
      </c>
      <c r="D16" s="12" t="s">
        <v>64</v>
      </c>
      <c r="E16" s="39" t="s">
        <v>104</v>
      </c>
      <c r="G16" s="31"/>
      <c r="H16" s="10"/>
      <c r="J16" s="10"/>
      <c r="K16" s="3"/>
      <c r="L16" s="3"/>
      <c r="M16" s="3"/>
      <c r="N16" s="3"/>
      <c r="O16" s="3"/>
      <c r="P16" s="3"/>
      <c r="Q16" s="3"/>
      <c r="R16" s="3"/>
      <c r="S16" s="3"/>
      <c r="T16" s="3"/>
      <c r="U16" s="3"/>
      <c r="V16" s="3"/>
      <c r="W16" s="3"/>
      <c r="X16" s="3"/>
      <c r="Y16" s="3"/>
      <c r="Z16" s="3"/>
      <c r="AA16" s="3"/>
    </row>
    <row r="17" spans="1:27" ht="18" customHeight="1" x14ac:dyDescent="0.35">
      <c r="A17" s="10"/>
      <c r="B17" s="11" t="s">
        <v>112</v>
      </c>
      <c r="C17" s="174">
        <v>120</v>
      </c>
      <c r="D17" s="12" t="s">
        <v>117</v>
      </c>
      <c r="E17" s="38" t="s">
        <v>114</v>
      </c>
      <c r="G17" s="10"/>
      <c r="H17" s="10"/>
      <c r="I17" s="10"/>
      <c r="J17" s="10"/>
      <c r="K17" s="3"/>
      <c r="L17" s="3"/>
      <c r="M17" s="3"/>
      <c r="N17" s="3"/>
      <c r="O17" s="3"/>
      <c r="P17" s="3"/>
      <c r="Q17" s="3"/>
      <c r="R17" s="3"/>
      <c r="S17" s="3"/>
      <c r="T17" s="3"/>
      <c r="U17" s="3"/>
      <c r="V17" s="3"/>
      <c r="W17" s="3"/>
      <c r="X17" s="3"/>
      <c r="Y17" s="3"/>
      <c r="Z17" s="3"/>
      <c r="AA17" s="3"/>
    </row>
    <row r="18" spans="1:27" ht="18" customHeight="1" x14ac:dyDescent="0.35">
      <c r="A18" s="10"/>
      <c r="B18" s="11" t="s">
        <v>113</v>
      </c>
      <c r="C18" s="15" t="s">
        <v>90</v>
      </c>
      <c r="D18" s="12"/>
      <c r="E18" s="27"/>
      <c r="F18" s="12"/>
      <c r="G18" s="26" t="s">
        <v>90</v>
      </c>
      <c r="H18" s="10"/>
      <c r="J18" s="10"/>
      <c r="K18" s="3"/>
      <c r="L18" s="3"/>
      <c r="M18" s="3"/>
      <c r="N18" s="3"/>
      <c r="O18" s="3"/>
      <c r="P18" s="3"/>
      <c r="Q18" s="3"/>
      <c r="R18" s="3"/>
      <c r="S18" s="3"/>
      <c r="T18" s="3"/>
      <c r="U18" s="3"/>
      <c r="V18" s="3"/>
      <c r="W18" s="3"/>
      <c r="X18" s="3"/>
      <c r="Y18" s="3"/>
      <c r="Z18" s="3"/>
      <c r="AA18" s="3"/>
    </row>
    <row r="19" spans="1:27" s="33" customFormat="1" ht="18" customHeight="1" x14ac:dyDescent="0.35">
      <c r="A19" s="32"/>
      <c r="B19" s="11" t="s">
        <v>93</v>
      </c>
      <c r="C19" s="17">
        <v>24</v>
      </c>
      <c r="D19" s="12" t="s">
        <v>64</v>
      </c>
      <c r="E19" s="17">
        <v>7</v>
      </c>
      <c r="F19" s="12" t="s">
        <v>66</v>
      </c>
      <c r="G19" s="37" t="s">
        <v>91</v>
      </c>
      <c r="H19" s="32"/>
      <c r="J19" s="32"/>
      <c r="K19" s="34"/>
      <c r="L19" s="34"/>
      <c r="M19" s="34"/>
      <c r="N19" s="34"/>
      <c r="O19" s="34"/>
      <c r="P19" s="34"/>
      <c r="Q19" s="34"/>
      <c r="R19" s="34"/>
      <c r="S19" s="34"/>
      <c r="T19" s="34"/>
      <c r="U19" s="34"/>
      <c r="V19" s="34"/>
      <c r="W19" s="34"/>
      <c r="X19" s="34"/>
      <c r="Y19" s="34"/>
      <c r="Z19" s="34"/>
      <c r="AA19" s="34"/>
    </row>
    <row r="20" spans="1:27" s="33" customFormat="1" ht="18" customHeight="1" x14ac:dyDescent="0.35">
      <c r="A20" s="32"/>
      <c r="B20" s="11" t="s">
        <v>65</v>
      </c>
      <c r="C20" s="14">
        <f>((C7*27154)*C6)/(60*C19*E19)</f>
        <v>53.876984126984127</v>
      </c>
      <c r="D20" s="12" t="s">
        <v>117</v>
      </c>
      <c r="E20" s="38" t="s">
        <v>115</v>
      </c>
      <c r="F20" s="12"/>
      <c r="G20" s="32"/>
      <c r="H20" s="32"/>
      <c r="I20" s="32"/>
      <c r="J20" s="32"/>
      <c r="K20" s="34"/>
      <c r="L20" s="34"/>
      <c r="M20" s="34"/>
      <c r="N20" s="34"/>
      <c r="O20" s="34"/>
      <c r="P20" s="34"/>
      <c r="Q20" s="34"/>
      <c r="R20" s="34"/>
      <c r="S20" s="34"/>
      <c r="T20" s="34"/>
      <c r="U20" s="34"/>
      <c r="V20" s="34"/>
      <c r="W20" s="34"/>
      <c r="X20" s="34"/>
      <c r="Y20" s="34"/>
      <c r="Z20" s="34"/>
      <c r="AA20" s="34"/>
    </row>
    <row r="21" spans="1:27" s="33" customFormat="1" ht="18" customHeight="1" x14ac:dyDescent="0.35">
      <c r="A21" s="32"/>
      <c r="B21" s="11" t="s">
        <v>20</v>
      </c>
      <c r="C21" s="15">
        <f>(C15*60*C16)-(C20*60*C16)</f>
        <v>41235.636596667653</v>
      </c>
      <c r="D21" s="12" t="s">
        <v>21</v>
      </c>
      <c r="E21" s="13">
        <f>C21/7.48</f>
        <v>5512.7856412657284</v>
      </c>
      <c r="F21" s="12" t="s">
        <v>15</v>
      </c>
      <c r="G21" s="35"/>
      <c r="H21" s="32"/>
      <c r="I21" s="32"/>
      <c r="J21" s="32"/>
      <c r="K21" s="34"/>
      <c r="L21" s="34"/>
      <c r="M21" s="34"/>
      <c r="N21" s="34"/>
      <c r="O21" s="34"/>
      <c r="P21" s="34"/>
      <c r="Q21" s="34"/>
      <c r="R21" s="34"/>
      <c r="S21" s="34"/>
      <c r="T21" s="34"/>
      <c r="U21" s="34"/>
      <c r="V21" s="34"/>
      <c r="W21" s="34"/>
      <c r="X21" s="34"/>
      <c r="Y21" s="34"/>
      <c r="Z21" s="34"/>
      <c r="AA21" s="34"/>
    </row>
    <row r="22" spans="1:27" s="33" customFormat="1" ht="18" customHeight="1" x14ac:dyDescent="0.3">
      <c r="A22" s="32"/>
      <c r="B22" s="4"/>
      <c r="C22" s="4"/>
      <c r="D22" s="4"/>
      <c r="E22" s="3"/>
      <c r="F22" s="3"/>
      <c r="G22" s="32"/>
      <c r="H22" s="32"/>
      <c r="I22" s="32"/>
      <c r="J22" s="32"/>
      <c r="K22" s="34"/>
      <c r="L22" s="34"/>
      <c r="M22" s="34"/>
      <c r="N22" s="34"/>
      <c r="O22" s="34"/>
      <c r="P22" s="34"/>
      <c r="Q22" s="34"/>
      <c r="R22" s="34"/>
      <c r="S22" s="34"/>
      <c r="T22" s="34"/>
      <c r="U22" s="34"/>
      <c r="V22" s="34"/>
      <c r="W22" s="34"/>
      <c r="X22" s="34"/>
      <c r="Y22" s="34"/>
      <c r="Z22" s="34"/>
      <c r="AA22" s="34"/>
    </row>
    <row r="23" spans="1:27" ht="18" customHeight="1" x14ac:dyDescent="0.3">
      <c r="B23" s="46" t="str">
        <f>"If your time willing to pump from water source is "&amp;LOWER(C19)&amp;" hours and pumping "&amp;LOWER(E19)&amp;" days per week, you will not have enough water unless you increase hours or days or both"</f>
        <v>If your time willing to pump from water source is 24 hours and pumping 7 days per week, you will not have enough water unless you increase hours or days or both</v>
      </c>
      <c r="C23" s="4"/>
      <c r="D23" s="4"/>
      <c r="E23" s="3"/>
      <c r="F23" s="3"/>
      <c r="G23" s="10"/>
      <c r="H23" s="10"/>
      <c r="I23" s="10"/>
      <c r="J23" s="10"/>
      <c r="K23" s="3"/>
      <c r="L23" s="3"/>
      <c r="M23" s="3"/>
      <c r="N23" s="3"/>
      <c r="O23" s="3"/>
      <c r="P23" s="3"/>
      <c r="Q23" s="3"/>
      <c r="R23" s="3"/>
      <c r="S23" s="3"/>
      <c r="T23" s="3"/>
      <c r="U23" s="3"/>
      <c r="V23" s="3"/>
      <c r="W23" s="3"/>
      <c r="X23" s="3"/>
      <c r="Y23" s="3"/>
      <c r="Z23" s="3"/>
      <c r="AA23" s="3"/>
    </row>
    <row r="24" spans="1:27" ht="18" customHeight="1" x14ac:dyDescent="0.3">
      <c r="E24" s="7"/>
      <c r="F24" s="7"/>
      <c r="G24" s="7"/>
      <c r="H24" s="7"/>
      <c r="I24" s="8"/>
      <c r="J24" s="6"/>
      <c r="K24" s="6"/>
      <c r="L24" s="6"/>
    </row>
    <row r="25" spans="1:27" ht="18" customHeight="1" x14ac:dyDescent="0.3">
      <c r="E25" s="6"/>
      <c r="F25" s="6"/>
      <c r="G25" s="6"/>
      <c r="H25" s="6"/>
      <c r="I25" s="6"/>
      <c r="J25" s="6"/>
      <c r="K25" s="6"/>
      <c r="L25" s="6"/>
    </row>
    <row r="26" spans="1:27" x14ac:dyDescent="0.3">
      <c r="E26" s="6"/>
      <c r="F26" s="6"/>
      <c r="G26" s="6"/>
      <c r="H26" s="6"/>
      <c r="I26" s="6"/>
      <c r="J26" s="6"/>
      <c r="K26" s="6"/>
      <c r="L26" s="6"/>
    </row>
    <row r="27" spans="1:27" ht="18" x14ac:dyDescent="0.35">
      <c r="E27" s="9"/>
      <c r="F27" s="9"/>
      <c r="G27" s="6"/>
      <c r="H27" s="6"/>
      <c r="I27" s="6"/>
      <c r="J27" s="6"/>
      <c r="K27" s="6"/>
      <c r="L27" s="6"/>
    </row>
    <row r="28" spans="1:27" x14ac:dyDescent="0.3">
      <c r="E28" s="6"/>
      <c r="F28" s="6"/>
      <c r="G28" s="6"/>
      <c r="H28" s="6"/>
      <c r="I28" s="6"/>
      <c r="J28" s="6"/>
      <c r="K28" s="6"/>
      <c r="L28" s="6"/>
    </row>
    <row r="29" spans="1:27" x14ac:dyDescent="0.3">
      <c r="E29" s="6"/>
      <c r="F29" s="6"/>
      <c r="G29" s="6"/>
      <c r="H29" s="6"/>
      <c r="I29" s="6"/>
      <c r="J29" s="6"/>
      <c r="K29" s="6"/>
      <c r="L29" s="6"/>
    </row>
    <row r="30" spans="1:27" x14ac:dyDescent="0.3">
      <c r="E30" s="6"/>
      <c r="F30" s="6"/>
      <c r="G30" s="6"/>
      <c r="H30" s="6"/>
      <c r="I30" s="6"/>
      <c r="J30" s="6"/>
      <c r="K30" s="6"/>
      <c r="L30" s="6"/>
    </row>
    <row r="31" spans="1:27" x14ac:dyDescent="0.3">
      <c r="E31" s="6"/>
      <c r="F31" s="6"/>
      <c r="G31" s="6"/>
      <c r="H31" s="6"/>
      <c r="I31" s="6"/>
      <c r="J31" s="6"/>
      <c r="K31" s="6"/>
      <c r="L31" s="6"/>
    </row>
    <row r="32" spans="1:27" x14ac:dyDescent="0.3">
      <c r="E32" s="6"/>
      <c r="F32" s="6"/>
      <c r="G32" s="6"/>
      <c r="H32" s="6"/>
      <c r="I32" s="6"/>
      <c r="J32" s="6"/>
      <c r="K32" s="6"/>
      <c r="L32" s="6"/>
    </row>
    <row r="33" spans="5:12" x14ac:dyDescent="0.3">
      <c r="E33" s="6"/>
      <c r="F33" s="6"/>
      <c r="G33" s="6"/>
      <c r="H33" s="6"/>
      <c r="I33" s="6"/>
      <c r="J33" s="6"/>
      <c r="K33" s="6"/>
      <c r="L33" s="6"/>
    </row>
  </sheetData>
  <sheetProtection sheet="1" objects="1" scenarios="1"/>
  <mergeCells count="1">
    <mergeCell ref="B2:F2"/>
  </mergeCells>
  <conditionalFormatting sqref="B19:F19 B21:F21 B20:D20 F20">
    <cfRule type="expression" dxfId="6" priority="7">
      <formula>$C$18=$G$19</formula>
    </cfRule>
  </conditionalFormatting>
  <conditionalFormatting sqref="C16">
    <cfRule type="expression" dxfId="5" priority="6">
      <formula>C16&gt;C13</formula>
    </cfRule>
  </conditionalFormatting>
  <conditionalFormatting sqref="E16">
    <cfRule type="expression" dxfId="4" priority="5">
      <formula>$C$16&gt;$C$13</formula>
    </cfRule>
  </conditionalFormatting>
  <conditionalFormatting sqref="D16">
    <cfRule type="expression" dxfId="3" priority="4">
      <formula>C16&gt;$C$13</formula>
    </cfRule>
  </conditionalFormatting>
  <conditionalFormatting sqref="E20">
    <cfRule type="expression" dxfId="2" priority="2">
      <formula>C20&gt;$C$17</formula>
    </cfRule>
  </conditionalFormatting>
  <conditionalFormatting sqref="E17">
    <cfRule type="expression" dxfId="1" priority="33">
      <formula>AND($C$17&lt;$C$15, C17&gt;0)</formula>
    </cfRule>
  </conditionalFormatting>
  <conditionalFormatting sqref="B23">
    <cfRule type="expression" dxfId="0" priority="1">
      <formula>($C$19*$E$19)&lt;($C$13*$E$13)</formula>
    </cfRule>
  </conditionalFormatting>
  <dataValidations count="5">
    <dataValidation type="whole" operator="lessThanOrEqual" allowBlank="1" showInputMessage="1" showErrorMessage="1" sqref="E19" xr:uid="{00000000-0002-0000-0400-000000000000}">
      <formula1>7</formula1>
    </dataValidation>
    <dataValidation type="whole" operator="lessThanOrEqual" allowBlank="1" showInputMessage="1" showErrorMessage="1" sqref="C19" xr:uid="{00000000-0002-0000-0400-000001000000}">
      <formula1>24</formula1>
    </dataValidation>
    <dataValidation type="list" allowBlank="1" showInputMessage="1" showErrorMessage="1" sqref="C18" xr:uid="{00000000-0002-0000-0400-000002000000}">
      <formula1>$G$18:$G$19</formula1>
    </dataValidation>
    <dataValidation type="whole" allowBlank="1" showInputMessage="1" showErrorMessage="1" sqref="E13" xr:uid="{00000000-0002-0000-0400-000003000000}">
      <formula1>0</formula1>
      <formula2>7</formula2>
    </dataValidation>
    <dataValidation type="whole" allowBlank="1" showInputMessage="1" showErrorMessage="1" sqref="C13" xr:uid="{00000000-0002-0000-0400-000004000000}">
      <formula1>0</formula1>
      <formula2>24</formula2>
    </dataValidation>
  </dataValidations>
  <pageMargins left="0.7" right="0.7" top="0.75" bottom="0.75" header="0.3" footer="0.3"/>
  <pageSetup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Introduction</vt:lpstr>
      <vt:lpstr>Input</vt:lpstr>
      <vt:lpstr>Economic Summary</vt:lpstr>
      <vt:lpstr>Reference System Sizing</vt:lpstr>
      <vt:lpstr>Reference Water Source Planning</vt:lpstr>
      <vt:lpstr>'Economic Summary'!Print_Area</vt:lpstr>
      <vt:lpstr>Input!Print_Area</vt:lpstr>
      <vt:lpstr>'Reference Water Source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L. Horner</dc:creator>
  <cp:lastModifiedBy>Milhollin, Ryan K.</cp:lastModifiedBy>
  <cp:lastPrinted>2013-09-06T19:45:14Z</cp:lastPrinted>
  <dcterms:created xsi:type="dcterms:W3CDTF">2012-12-17T21:28:33Z</dcterms:created>
  <dcterms:modified xsi:type="dcterms:W3CDTF">2023-02-24T16:49:41Z</dcterms:modified>
</cp:coreProperties>
</file>