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https://mailmissouri-my.sharepoint.com/personal/masseyr_umsystem_edu/Documents/Publications/Computer Programs/ReplantCropInsurance/"/>
    </mc:Choice>
  </mc:AlternateContent>
  <xr:revisionPtr revIDLastSave="62" documentId="8_{0FE67123-A808-40EA-A4C3-2F9B3A1999F6}" xr6:coauthVersionLast="47" xr6:coauthVersionMax="47" xr10:uidLastSave="{1D8E9C4E-ABE1-44CD-A587-8DF52A97CDAE}"/>
  <bookViews>
    <workbookView xWindow="-120" yWindow="-120" windowWidth="29040" windowHeight="15840" xr2:uid="{00000000-000D-0000-FFFF-FFFF00000000}"/>
  </bookViews>
  <sheets>
    <sheet name="Instructions" sheetId="35" r:id="rId1"/>
    <sheet name="Corn Already Planted" sheetId="29" r:id="rId2"/>
    <sheet name="Soybeans Already Planted" sheetId="36" r:id="rId3"/>
    <sheet name="Corn Prevented Planted" sheetId="37" r:id="rId4"/>
    <sheet name="Soybeans Prevented Planted" sheetId="38" r:id="rId5"/>
    <sheet name="RMAData" sheetId="27" r:id="rId6"/>
  </sheets>
  <definedNames>
    <definedName name="APHc" localSheetId="3">'Corn Prevented Planted'!$F$21</definedName>
    <definedName name="APHc" localSheetId="4">'Soybeans Prevented Planted'!#REF!</definedName>
    <definedName name="APHc">'Corn Already Planted'!$F$23</definedName>
    <definedName name="APHs" localSheetId="3">'Corn Prevented Planted'!$H$21</definedName>
    <definedName name="APHs" localSheetId="4">'Soybeans Prevented Planted'!$F$21</definedName>
    <definedName name="APHs">'Corn Already Planted'!$H$23</definedName>
    <definedName name="AsIsRPIndc" localSheetId="3">'Corn Prevented Planted'!$J$81</definedName>
    <definedName name="AsIsRPIndc" localSheetId="4">'Soybeans Prevented Planted'!$H$81</definedName>
    <definedName name="AsIsRPIndc">'Corn Already Planted'!$J$85</definedName>
    <definedName name="AsIsRPInds" localSheetId="2">'Soybeans Already Planted'!$H$85</definedName>
    <definedName name="AsIsYPIndc" localSheetId="3">'Corn Prevented Planted'!$J$80</definedName>
    <definedName name="AsIsYPIndc" localSheetId="4">'Soybeans Prevented Planted'!$H$80</definedName>
    <definedName name="AsIsYPIndc">'Corn Already Planted'!$J$84</definedName>
    <definedName name="AsIsYPInds" localSheetId="2">'Soybeans Already Planted'!$H$84</definedName>
    <definedName name="County" localSheetId="3">'Corn Prevented Planted'!$D$5</definedName>
    <definedName name="County" localSheetId="2">'Soybeans Already Planted'!$D$5</definedName>
    <definedName name="County" localSheetId="4">'Soybeans Prevented Planted'!$D$5</definedName>
    <definedName name="County">'Corn Already Planted'!$D$5</definedName>
    <definedName name="Crop1Perc" localSheetId="3">'Corn Prevented Planted'!$J$97</definedName>
    <definedName name="Crop1Perc" localSheetId="2">'Soybeans Already Planted'!$H$101</definedName>
    <definedName name="Crop1Perc" localSheetId="4">'Soybeans Prevented Planted'!$H$97</definedName>
    <definedName name="Crop1Perc">'Corn Already Planted'!$J$101</definedName>
    <definedName name="Crop1Pmt" localSheetId="3">'Corn Prevented Planted'!$J$44</definedName>
    <definedName name="Crop1Pmt" localSheetId="2">'Soybeans Already Planted'!$H$47</definedName>
    <definedName name="Crop1Pmt" localSheetId="4">'Soybeans Prevented Planted'!$H$44</definedName>
    <definedName name="Crop1Pmt">'Corn Already Planted'!$J$47</definedName>
    <definedName name="EndPlc" localSheetId="3">'Corn Prevented Planted'!$R$21</definedName>
    <definedName name="EndPlc" localSheetId="2">'Soybeans Already Planted'!$N$23</definedName>
    <definedName name="EndPlc" localSheetId="4">'Soybeans Prevented Planted'!$N$21</definedName>
    <definedName name="EndPlc">'Corn Already Planted'!$R$23</definedName>
    <definedName name="EndPls" localSheetId="3">'Corn Prevented Planted'!$S$21</definedName>
    <definedName name="EndPls" localSheetId="2">'Soybeans Already Planted'!$O$23</definedName>
    <definedName name="EndPls" localSheetId="4">'Soybeans Prevented Planted'!$O$21</definedName>
    <definedName name="EndPls">'Corn Already Planted'!$S$23</definedName>
    <definedName name="FinPlc" localSheetId="3">'Corn Prevented Planted'!$R$19</definedName>
    <definedName name="FinPlc" localSheetId="2">'Soybeans Already Planted'!$N$21</definedName>
    <definedName name="FinPlc" localSheetId="4">'Soybeans Prevented Planted'!$N$19</definedName>
    <definedName name="FinPlc">'Corn Already Planted'!$R$21</definedName>
    <definedName name="FinPLs" localSheetId="3">'Corn Prevented Planted'!$S$19</definedName>
    <definedName name="FinPLs" localSheetId="2">'Soybeans Already Planted'!$O$21</definedName>
    <definedName name="FinPLs" localSheetId="4">'Soybeans Prevented Planted'!$O$19</definedName>
    <definedName name="FinPLs">'Corn Already Planted'!$S$21</definedName>
    <definedName name="IndemPc">Instructions!$L$17</definedName>
    <definedName name="IndemPrc">Instructions!$L$17</definedName>
    <definedName name="IndemPs">Instructions!$M$17</definedName>
    <definedName name="InsCovc" localSheetId="3">'Corn Prevented Planted'!$F$22</definedName>
    <definedName name="InsCovc" localSheetId="2">'Soybeans Already Planted'!$F$24</definedName>
    <definedName name="InsCovc" localSheetId="4">'Soybeans Prevented Planted'!#REF!</definedName>
    <definedName name="InsCovc">'Corn Already Planted'!$F$24</definedName>
    <definedName name="InsCovs" localSheetId="3">'Corn Prevented Planted'!$H$22</definedName>
    <definedName name="InsCovs" localSheetId="2">'Soybeans Already Planted'!#REF!</definedName>
    <definedName name="InsCovs" localSheetId="4">'Soybeans Prevented Planted'!$F$22</definedName>
    <definedName name="InsCovs">'Corn Already Planted'!$H$24</definedName>
    <definedName name="InsSelc" localSheetId="3">'Corn Prevented Planted'!$E$17</definedName>
    <definedName name="InsSelc" localSheetId="2">'Soybeans Already Planted'!$E$19</definedName>
    <definedName name="InsSelc" localSheetId="4">'Soybeans Prevented Planted'!#REF!</definedName>
    <definedName name="InsSelc">'Corn Already Planted'!$E$19</definedName>
    <definedName name="InsSels" localSheetId="3">'Corn Prevented Planted'!$H$17</definedName>
    <definedName name="InsSels" localSheetId="2">'Soybeans Already Planted'!#REF!</definedName>
    <definedName name="InsSels" localSheetId="4">'Soybeans Prevented Planted'!$F$17</definedName>
    <definedName name="InsSels">'Corn Already Planted'!$H$19</definedName>
    <definedName name="PlPerc" localSheetId="3">'Corn Prevented Planted'!$J$100</definedName>
    <definedName name="PlPerc" localSheetId="2">'Soybeans Already Planted'!$H$104</definedName>
    <definedName name="PlPerc" localSheetId="4">'Soybeans Prevented Planted'!$H$85</definedName>
    <definedName name="PlPerc">'Corn Already Planted'!$J$104</definedName>
    <definedName name="PlPers" localSheetId="3">'Corn Prevented Planted'!$J$101</definedName>
    <definedName name="PlPers" localSheetId="2">'Soybeans Already Planted'!$H$105</definedName>
    <definedName name="PlPers" localSheetId="4">'Soybeans Prevented Planted'!$H$86</definedName>
    <definedName name="PlPers">'Corn Already Planted'!$J$105</definedName>
    <definedName name="Practicalc" localSheetId="3">'Corn Prevented Planted'!$R$22</definedName>
    <definedName name="Practicalc" localSheetId="2">'Soybeans Already Planted'!$N$24</definedName>
    <definedName name="Practicalc" localSheetId="4">'Soybeans Prevented Planted'!$N$22</definedName>
    <definedName name="Practicalc">'Corn Already Planted'!$R$24</definedName>
    <definedName name="Practicals" localSheetId="3">'Corn Prevented Planted'!$S$22</definedName>
    <definedName name="Practicals" localSheetId="2">'Soybeans Already Planted'!$O$24</definedName>
    <definedName name="Practicals" localSheetId="4">'Soybeans Prevented Planted'!$O$22</definedName>
    <definedName name="Practicals">'Corn Already Planted'!$S$24</definedName>
    <definedName name="PractPercent" localSheetId="3">'Corn Prevented Planted'!$J$93</definedName>
    <definedName name="PractPercent" localSheetId="2">'Soybeans Already Planted'!$H$97</definedName>
    <definedName name="PractPercent" localSheetId="4">'Soybeans Prevented Planted'!$H$93</definedName>
    <definedName name="PractPercent">'Corn Already Planted'!$J$97</definedName>
    <definedName name="_xlnm.Print_Area" localSheetId="1">'Corn Already Planted'!$C$1:$O$55</definedName>
    <definedName name="_xlnm.Print_Area" localSheetId="3">'Corn Prevented Planted'!$C$1:$O$51</definedName>
    <definedName name="_xlnm.Print_Area" localSheetId="2">'Soybeans Already Planted'!$C$1:$K$55</definedName>
    <definedName name="_xlnm.Print_Area" localSheetId="4">'Soybeans Prevented Planted'!$C$1:$K$51</definedName>
    <definedName name="Region" localSheetId="3">'Corn Prevented Planted'!$I$76</definedName>
    <definedName name="Region" localSheetId="2">'Soybeans Already Planted'!$G$80</definedName>
    <definedName name="Region" localSheetId="4">'Soybeans Prevented Planted'!$G$77</definedName>
    <definedName name="Region">'Corn Already Planted'!$I$80</definedName>
    <definedName name="RepRPIndc" localSheetId="3">'Corn Prevented Planted'!$L$81</definedName>
    <definedName name="RepRPIndc" localSheetId="2">'Soybeans Already Planted'!$J$85</definedName>
    <definedName name="RepRPIndc" localSheetId="4">'Soybeans Prevented Planted'!$J$81</definedName>
    <definedName name="RepRPIndc">'Corn Already Planted'!$L$85</definedName>
    <definedName name="RepYPIndc" localSheetId="3">'Corn Prevented Planted'!$L$80</definedName>
    <definedName name="RepYPIndc" localSheetId="2">'Soybeans Already Planted'!$J$84</definedName>
    <definedName name="RepYPIndc" localSheetId="4">'Soybeans Prevented Planted'!$J$80</definedName>
    <definedName name="RepYPIndc">'Corn Already Planted'!$L$84</definedName>
    <definedName name="RevGuarc" localSheetId="3">'Corn Prevented Planted'!$J$25</definedName>
    <definedName name="RevGuarc" localSheetId="2">'Soybeans Already Planted'!$H$27</definedName>
    <definedName name="RevGuarc" localSheetId="4">'Soybeans Prevented Planted'!$H$25</definedName>
    <definedName name="RevGuarc">'Corn Already Planted'!$J$27</definedName>
    <definedName name="RevGuars" localSheetId="3">'Corn Prevented Planted'!$N$25</definedName>
    <definedName name="RevGuars" localSheetId="2">'Soybeans Already Planted'!#REF!</definedName>
    <definedName name="RevGuars" localSheetId="4">'Soybeans Prevented Planted'!#REF!</definedName>
    <definedName name="RevGuars">'Corn Already Planted'!$N$27</definedName>
    <definedName name="RPInds" localSheetId="3">'Corn Prevented Planted'!$N$81</definedName>
    <definedName name="RPInds" localSheetId="2">'Soybeans Already Planted'!#REF!</definedName>
    <definedName name="RPInds" localSheetId="4">'Soybeans Prevented Planted'!#REF!</definedName>
    <definedName name="RPInds">'Corn Already Planted'!$N$85</definedName>
    <definedName name="RPltIndc" localSheetId="3">'Corn Prevented Planted'!$J$89</definedName>
    <definedName name="RPltIndc" localSheetId="2">'Soybeans Already Planted'!$H$93</definedName>
    <definedName name="RPltIndc" localSheetId="4">'Soybeans Prevented Planted'!$H$89</definedName>
    <definedName name="RPltIndc">'Corn Already Planted'!$J$93</definedName>
    <definedName name="RPltInds" localSheetId="3">'Corn Prevented Planted'!$J$90</definedName>
    <definedName name="RPltInds" localSheetId="2">'Soybeans Already Planted'!$H$94</definedName>
    <definedName name="RPltInds" localSheetId="4">'Soybeans Prevented Planted'!$H$90</definedName>
    <definedName name="RPltInds">'Corn Already Planted'!$J$94</definedName>
    <definedName name="YPInds" localSheetId="3">'Corn Prevented Planted'!$N$80</definedName>
    <definedName name="YPInds" localSheetId="2">'Soybeans Already Planted'!#REF!</definedName>
    <definedName name="YPInds" localSheetId="4">'Soybeans Prevented Planted'!#REF!</definedName>
    <definedName name="YPInds">'Corn Already Planted'!$N$84</definedName>
    <definedName name="Z_F9149101_45DA_497E_B5FE_736B1DD83EC1_.wvu.PrintArea" localSheetId="1" hidden="1">'Corn Already Planted'!$A$1:$O$80</definedName>
    <definedName name="Z_F9149101_45DA_497E_B5FE_736B1DD83EC1_.wvu.PrintArea" localSheetId="3" hidden="1">'Corn Prevented Planted'!$A$1:$O$76</definedName>
    <definedName name="Z_F9149101_45DA_497E_B5FE_736B1DD83EC1_.wvu.PrintArea" localSheetId="2" hidden="1">'Soybeans Already Planted'!$A$1:$K$80</definedName>
    <definedName name="Z_F9149101_45DA_497E_B5FE_736B1DD83EC1_.wvu.PrintArea" localSheetId="4" hidden="1">'Soybeans Prevented Planted'!$A$1:$K$76</definedName>
  </definedNames>
  <calcPr calcId="191029" calcMode="autoNoTable"/>
  <customWorkbookViews>
    <customWorkbookView name="Corn Already Planted" guid="{F9149101-45DA-497E-B5FE-736B1DD83EC1}" includeHiddenRowCol="0" maximized="1" windowWidth="1043" windowHeight="69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38" l="1"/>
  <c r="J17" i="38"/>
  <c r="J14" i="38"/>
  <c r="H43" i="38"/>
  <c r="H17" i="38"/>
  <c r="G77" i="38"/>
  <c r="H41" i="38"/>
  <c r="O22" i="38"/>
  <c r="N22" i="38"/>
  <c r="O21" i="38"/>
  <c r="N21" i="38"/>
  <c r="O20" i="38"/>
  <c r="N20" i="38"/>
  <c r="O19" i="38"/>
  <c r="N19" i="38"/>
  <c r="O18" i="38"/>
  <c r="N18" i="38"/>
  <c r="F11" i="38"/>
  <c r="J26" i="37"/>
  <c r="J43" i="37"/>
  <c r="I76" i="37"/>
  <c r="S22" i="37"/>
  <c r="R22" i="37"/>
  <c r="S21" i="37"/>
  <c r="R21" i="37"/>
  <c r="S20" i="37"/>
  <c r="R20" i="37"/>
  <c r="S19" i="37"/>
  <c r="R19" i="37"/>
  <c r="S18" i="37"/>
  <c r="R18" i="37"/>
  <c r="N17" i="37"/>
  <c r="L17" i="37"/>
  <c r="J17" i="37"/>
  <c r="N14" i="37"/>
  <c r="L14" i="37"/>
  <c r="H11" i="37"/>
  <c r="N11" i="37" s="1"/>
  <c r="F11" i="37"/>
  <c r="L11" i="37" s="1"/>
  <c r="F11" i="36"/>
  <c r="J11" i="36" s="1"/>
  <c r="G80" i="36"/>
  <c r="O24" i="36"/>
  <c r="N24" i="36"/>
  <c r="O23" i="36"/>
  <c r="N23" i="36"/>
  <c r="O22" i="36"/>
  <c r="N22" i="36"/>
  <c r="O21" i="36"/>
  <c r="H25" i="36" s="1"/>
  <c r="J27" i="36" s="1"/>
  <c r="N21" i="36"/>
  <c r="O20" i="36"/>
  <c r="N20" i="36"/>
  <c r="J19" i="36"/>
  <c r="H19" i="36"/>
  <c r="J16" i="36"/>
  <c r="H15" i="36"/>
  <c r="H46" i="36" s="1"/>
  <c r="H11" i="38" l="1"/>
  <c r="H25" i="38" s="1"/>
  <c r="J23" i="38"/>
  <c r="J26" i="38" s="1"/>
  <c r="J11" i="38"/>
  <c r="L23" i="37"/>
  <c r="L26" i="37" s="1"/>
  <c r="N23" i="37"/>
  <c r="N25" i="37" s="1"/>
  <c r="J11" i="37"/>
  <c r="J25" i="37" s="1"/>
  <c r="J44" i="37" s="1"/>
  <c r="N44" i="37" s="1"/>
  <c r="J41" i="37"/>
  <c r="H11" i="36"/>
  <c r="H28" i="36"/>
  <c r="H85" i="36" s="1"/>
  <c r="H40" i="36"/>
  <c r="H44" i="36" s="1"/>
  <c r="H27" i="36"/>
  <c r="J25" i="36"/>
  <c r="J28" i="36" s="1"/>
  <c r="J49" i="36" s="1"/>
  <c r="J25" i="38" l="1"/>
  <c r="H44" i="38"/>
  <c r="H46" i="38" s="1"/>
  <c r="H47" i="38" s="1"/>
  <c r="L25" i="37"/>
  <c r="N26" i="37"/>
  <c r="H29" i="36"/>
  <c r="H84" i="36"/>
  <c r="H47" i="36" l="1"/>
  <c r="H50" i="36" s="1"/>
  <c r="H51" i="36" s="1"/>
  <c r="J46" i="37"/>
  <c r="J47" i="37" s="1"/>
  <c r="N19" i="29" l="1"/>
  <c r="L19" i="29"/>
  <c r="J19" i="29"/>
  <c r="S23" i="29"/>
  <c r="R23" i="29"/>
  <c r="S20" i="29"/>
  <c r="R20" i="29"/>
  <c r="R22" i="29"/>
  <c r="S22" i="29"/>
  <c r="S24" i="29"/>
  <c r="R24" i="29"/>
  <c r="S21" i="29"/>
  <c r="R21" i="29"/>
  <c r="J25" i="29" s="1"/>
  <c r="H11" i="29"/>
  <c r="N11" i="29" s="1"/>
  <c r="F11" i="29"/>
  <c r="L11" i="29" l="1"/>
  <c r="J11" i="29"/>
  <c r="N25" i="29"/>
  <c r="N28" i="29" s="1"/>
  <c r="L27" i="29"/>
  <c r="L25" i="29"/>
  <c r="J28" i="29"/>
  <c r="J27" i="29"/>
  <c r="L28" i="29"/>
  <c r="L49" i="29" s="1"/>
  <c r="N27" i="29" l="1"/>
  <c r="I80" i="29"/>
  <c r="L4" i="27"/>
  <c r="L5" i="27" l="1"/>
  <c r="AL107" i="38" l="1"/>
  <c r="AK107" i="38"/>
  <c r="AL111" i="36"/>
  <c r="AP107" i="37"/>
  <c r="AO107" i="37"/>
  <c r="AO111" i="29"/>
  <c r="AO118" i="29" s="1"/>
  <c r="AP111" i="29"/>
  <c r="AM114" i="38" l="1"/>
  <c r="AK114" i="38"/>
  <c r="AN114" i="38"/>
  <c r="AL114" i="38"/>
  <c r="J15" i="38" s="1"/>
  <c r="J81" i="38" s="1"/>
  <c r="AQ114" i="37"/>
  <c r="AO114" i="37"/>
  <c r="L15" i="37" s="1"/>
  <c r="L80" i="37" s="1"/>
  <c r="AR114" i="37"/>
  <c r="AP114" i="37"/>
  <c r="N15" i="37" s="1"/>
  <c r="AM118" i="36"/>
  <c r="AK118" i="36"/>
  <c r="AN118" i="36"/>
  <c r="AL118" i="36"/>
  <c r="J17" i="36" s="1"/>
  <c r="AP118" i="29"/>
  <c r="N17" i="29" s="1"/>
  <c r="AR118" i="29"/>
  <c r="L17" i="29"/>
  <c r="L85" i="29" s="1"/>
  <c r="AQ118" i="29"/>
  <c r="J80" i="38" l="1"/>
  <c r="J44" i="38" s="1"/>
  <c r="J37" i="38"/>
  <c r="J41" i="38" s="1"/>
  <c r="J43" i="38"/>
  <c r="N80" i="37"/>
  <c r="N81" i="37"/>
  <c r="N45" i="37" s="1"/>
  <c r="N43" i="37"/>
  <c r="N37" i="37"/>
  <c r="N41" i="37" s="1"/>
  <c r="L43" i="37"/>
  <c r="L81" i="37"/>
  <c r="L44" i="37" s="1"/>
  <c r="L37" i="37"/>
  <c r="L41" i="37" s="1"/>
  <c r="L47" i="29"/>
  <c r="L84" i="29"/>
  <c r="N85" i="29"/>
  <c r="N84" i="29"/>
  <c r="L46" i="29"/>
  <c r="J46" i="38" l="1"/>
  <c r="J47" i="38" s="1"/>
  <c r="L46" i="37"/>
  <c r="L47" i="37" s="1"/>
  <c r="J84" i="36"/>
  <c r="J85" i="36"/>
  <c r="J40" i="36"/>
  <c r="J44" i="36" s="1"/>
  <c r="J46" i="36"/>
  <c r="J15" i="29"/>
  <c r="N16" i="29"/>
  <c r="L16" i="29"/>
  <c r="N46" i="37" l="1"/>
  <c r="N47" i="37" s="1"/>
  <c r="J47" i="36"/>
  <c r="J50" i="36" s="1"/>
  <c r="J51" i="36" s="1"/>
  <c r="J85" i="29"/>
  <c r="J84" i="29"/>
  <c r="J29" i="29"/>
  <c r="J46" i="29"/>
  <c r="J40" i="29"/>
  <c r="J44" i="29" s="1"/>
  <c r="J47" i="29" l="1"/>
  <c r="N48" i="29" s="1"/>
  <c r="L40" i="29"/>
  <c r="L44" i="29" s="1"/>
  <c r="N47" i="29" l="1"/>
  <c r="J50" i="29"/>
  <c r="L50" i="29"/>
  <c r="L51" i="29" s="1"/>
  <c r="J51" i="29" l="1"/>
  <c r="N46" i="29" l="1"/>
  <c r="N50" i="29" s="1"/>
  <c r="N40" i="29"/>
  <c r="N44" i="29" s="1"/>
  <c r="N51"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Edwards</author>
    <author>Massey, Raymond E.</author>
    <author>Ann Johanns</author>
    <author>Raymond E. Massey</author>
  </authors>
  <commentList>
    <comment ref="C19" authorId="0" shapeId="0" xr:uid="{00000000-0006-0000-0100-000001000000}">
      <text>
        <r>
          <rPr>
            <sz val="8"/>
            <color indexed="81"/>
            <rFont val="Tahoma"/>
            <family val="2"/>
          </rPr>
          <t>Group insurance policies such as 
GRP and GRIP do not carry replant 
or prevented planting payment provisions.</t>
        </r>
      </text>
    </comment>
    <comment ref="C25" authorId="1" shapeId="0" xr:uid="{01B59D2D-ACE3-4876-AFD0-14A52C059509}">
      <text>
        <r>
          <rPr>
            <b/>
            <sz val="9"/>
            <color indexed="81"/>
            <rFont val="Tahoma"/>
            <family val="2"/>
          </rPr>
          <t>Massey, Raymond E.:</t>
        </r>
        <r>
          <rPr>
            <sz val="9"/>
            <color indexed="81"/>
            <rFont val="Tahoma"/>
            <family val="2"/>
          </rPr>
          <t xml:space="preserve">
For replant decisions, the initial planting date determines guarantee adjustments.</t>
        </r>
      </text>
    </comment>
    <comment ref="F39" authorId="2" shapeId="0" xr:uid="{00000000-0006-0000-0100-000002000000}">
      <text>
        <r>
          <rPr>
            <sz val="8"/>
            <color indexed="81"/>
            <rFont val="Tahoma"/>
            <family val="2"/>
          </rPr>
          <t>Enter cost for drying and handling late planted corn. 
May be more than for corn planted early.</t>
        </r>
      </text>
    </comment>
    <comment ref="N47" authorId="0" shapeId="0" xr:uid="{00000000-0006-0000-0100-000003000000}">
      <text>
        <r>
          <rPr>
            <sz val="8"/>
            <color indexed="81"/>
            <rFont val="Tahoma"/>
            <family val="2"/>
          </rPr>
          <t xml:space="preserve">If there is no indemnity on the soybean crop, the indemnity from the failed corn crop is paid at 100%. If there is an Indemnity payment on the soybean crop, 35% of the indemnity is paid + the greater of soybean indemnity or the remaining 65% of the corn indemnity. </t>
        </r>
      </text>
    </comment>
    <comment ref="N48" authorId="0" shapeId="0" xr:uid="{00000000-0006-0000-0100-000004000000}">
      <text>
        <r>
          <rPr>
            <sz val="8"/>
            <color indexed="81"/>
            <rFont val="Tahoma"/>
            <family val="2"/>
          </rPr>
          <t>An indemnity payment may be received on 
soybeans if they are insured and it is larger 
than 65% of the corn indemnity payment 
that could be received.</t>
        </r>
      </text>
    </comment>
    <comment ref="AN112" authorId="3" shapeId="0" xr:uid="{00000000-0006-0000-0100-000005000000}">
      <text>
        <r>
          <rPr>
            <b/>
            <sz val="9"/>
            <color indexed="81"/>
            <rFont val="Tahoma"/>
            <family val="2"/>
          </rPr>
          <t>Raymond E. Massey:</t>
        </r>
        <r>
          <rPr>
            <sz val="9"/>
            <color indexed="81"/>
            <rFont val="Tahoma"/>
            <family val="2"/>
          </rPr>
          <t xml:space="preserve">
These coefficients were estimated from data provided by Bill Wiebold in 2011.  The original data and graphs can be found in Replant Decisions.xlsx.</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Edwards</author>
    <author>Massey, Raymond E.</author>
    <author>Raymond E. Massey</author>
  </authors>
  <commentList>
    <comment ref="C19" authorId="0" shapeId="0" xr:uid="{3FD9E906-5387-4036-90B8-6E4F20A2DFA0}">
      <text>
        <r>
          <rPr>
            <sz val="8"/>
            <color indexed="81"/>
            <rFont val="Tahoma"/>
            <family val="2"/>
          </rPr>
          <t>Group insurance policies such as 
GRP and GRIP do not carry replant 
or prevented planting payment provisions.</t>
        </r>
      </text>
    </comment>
    <comment ref="C25" authorId="1" shapeId="0" xr:uid="{B49A8E46-2C20-478F-8229-2B0DBFACC7E4}">
      <text>
        <r>
          <rPr>
            <b/>
            <sz val="9"/>
            <color indexed="81"/>
            <rFont val="Tahoma"/>
            <family val="2"/>
          </rPr>
          <t>Massey, Raymond E.:</t>
        </r>
        <r>
          <rPr>
            <sz val="9"/>
            <color indexed="81"/>
            <rFont val="Tahoma"/>
            <family val="2"/>
          </rPr>
          <t xml:space="preserve">
For replant decisions, the initial planting date determines guarantee adjustments.</t>
        </r>
      </text>
    </comment>
    <comment ref="AJ112" authorId="2" shapeId="0" xr:uid="{62CCAECC-D383-4DDA-8CB7-B3580667B9C5}">
      <text>
        <r>
          <rPr>
            <b/>
            <sz val="9"/>
            <color indexed="81"/>
            <rFont val="Tahoma"/>
            <family val="2"/>
          </rPr>
          <t>Raymond E. Massey:</t>
        </r>
        <r>
          <rPr>
            <sz val="9"/>
            <color indexed="81"/>
            <rFont val="Tahoma"/>
            <family val="2"/>
          </rPr>
          <t xml:space="preserve">
These coefficients were estimated from data provided by Bill Wiebold in 2011.  The original data and graphs can be found in Replant Decisions.xlsx.</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William Edwards</author>
    <author>Massey, Raymond E.</author>
    <author>Ann Johanns</author>
    <author>Raymond E. Massey</author>
  </authors>
  <commentList>
    <comment ref="C17" authorId="0" shapeId="0" xr:uid="{1F6CB087-9F03-4E85-9E52-3DFE871FD48D}">
      <text>
        <r>
          <rPr>
            <sz val="8"/>
            <color indexed="81"/>
            <rFont val="Tahoma"/>
            <family val="2"/>
          </rPr>
          <t>Group insurance policies such as 
GRP and GRIP do not carry replant 
or prevented planting payment provisions.</t>
        </r>
      </text>
    </comment>
    <comment ref="C23" authorId="1" shapeId="0" xr:uid="{9B41D8C2-2767-4D91-9948-CB83F5097AA4}">
      <text>
        <r>
          <rPr>
            <b/>
            <sz val="9"/>
            <color indexed="81"/>
            <rFont val="Tahoma"/>
            <family val="2"/>
          </rPr>
          <t>Massey, Raymond E.:</t>
        </r>
        <r>
          <rPr>
            <sz val="9"/>
            <color indexed="81"/>
            <rFont val="Tahoma"/>
            <family val="2"/>
          </rPr>
          <t xml:space="preserve">
For replant decisions, the initial planting date determines guarantee adjustments.</t>
        </r>
      </text>
    </comment>
    <comment ref="F36" authorId="2" shapeId="0" xr:uid="{3825CB4A-107A-4A83-B23F-06196896D2F6}">
      <text>
        <r>
          <rPr>
            <sz val="8"/>
            <color indexed="81"/>
            <rFont val="Tahoma"/>
            <family val="2"/>
          </rPr>
          <t>Enter cost for drying and handling late planted corn. 
May be more than for corn planted early.</t>
        </r>
      </text>
    </comment>
    <comment ref="J44" authorId="1" shapeId="0" xr:uid="{99F19284-1BC2-4066-9DE1-3720A50828B8}">
      <text>
        <r>
          <rPr>
            <b/>
            <sz val="9"/>
            <color indexed="81"/>
            <rFont val="Tahoma"/>
            <family val="2"/>
          </rPr>
          <t>Massey, Raymond E.:</t>
        </r>
        <r>
          <rPr>
            <sz val="9"/>
            <color indexed="81"/>
            <rFont val="Tahoma"/>
            <family val="2"/>
          </rPr>
          <t xml:space="preserve">
After the final planting date, a cover crop can be planted without affecting indemnity. If another insured crop is planted, indemnity is reduced to 35% and assigned to that column in this table.</t>
        </r>
      </text>
    </comment>
    <comment ref="AN108" authorId="3" shapeId="0" xr:uid="{FD020D9D-61BC-488E-9EC3-5A7614E6BC09}">
      <text>
        <r>
          <rPr>
            <b/>
            <sz val="9"/>
            <color indexed="81"/>
            <rFont val="Tahoma"/>
            <family val="2"/>
          </rPr>
          <t>Raymond E. Massey:</t>
        </r>
        <r>
          <rPr>
            <sz val="9"/>
            <color indexed="81"/>
            <rFont val="Tahoma"/>
            <family val="2"/>
          </rPr>
          <t xml:space="preserve">
These coefficients were estimated from data provided by Bill Wiebold in 2011.  The original data and graphs can be found in Replant Decisions.xlsx.</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William Edwards</author>
    <author>Massey, Raymond E.</author>
    <author>Raymond E. Massey</author>
  </authors>
  <commentList>
    <comment ref="C17" authorId="0" shapeId="0" xr:uid="{36F5409D-C4A2-4160-9E35-46F6CA655236}">
      <text>
        <r>
          <rPr>
            <sz val="8"/>
            <color indexed="81"/>
            <rFont val="Tahoma"/>
            <family val="2"/>
          </rPr>
          <t>Group insurance policies such as 
GRP and GRIP do not carry replant 
or prevented planting payment provisions.</t>
        </r>
      </text>
    </comment>
    <comment ref="C23" authorId="1" shapeId="0" xr:uid="{A87D3BAF-7C90-4FB4-A317-DDAED737A2CA}">
      <text>
        <r>
          <rPr>
            <b/>
            <sz val="9"/>
            <color indexed="81"/>
            <rFont val="Tahoma"/>
            <family val="2"/>
          </rPr>
          <t>Massey, Raymond E.:</t>
        </r>
        <r>
          <rPr>
            <sz val="9"/>
            <color indexed="81"/>
            <rFont val="Tahoma"/>
            <family val="2"/>
          </rPr>
          <t xml:space="preserve">
For replant decisions, the initial planting date determines guarantee adjustments.</t>
        </r>
      </text>
    </comment>
    <comment ref="H44" authorId="1" shapeId="0" xr:uid="{11F28875-B64F-4D3C-B5D3-65830A4E2296}">
      <text>
        <r>
          <rPr>
            <b/>
            <sz val="9"/>
            <color indexed="81"/>
            <rFont val="Tahoma"/>
            <family val="2"/>
          </rPr>
          <t>Massey, Raymond E.:</t>
        </r>
        <r>
          <rPr>
            <sz val="9"/>
            <color indexed="81"/>
            <rFont val="Tahoma"/>
            <family val="2"/>
          </rPr>
          <t xml:space="preserve">
After the final planting date, a cover crop can be planted without affecting indemnity.</t>
        </r>
      </text>
    </comment>
    <comment ref="AJ108" authorId="2" shapeId="0" xr:uid="{7B14D2A2-C106-4BF4-8DB3-5DBA76363C14}">
      <text>
        <r>
          <rPr>
            <b/>
            <sz val="9"/>
            <color indexed="81"/>
            <rFont val="Tahoma"/>
            <family val="2"/>
          </rPr>
          <t>Raymond E. Massey:</t>
        </r>
        <r>
          <rPr>
            <sz val="9"/>
            <color indexed="81"/>
            <rFont val="Tahoma"/>
            <family val="2"/>
          </rPr>
          <t xml:space="preserve">
These coefficients were estimated from data provided by Bill Wiebold in 2011.  The original data and graphs can be found in Replant Decisions.xlsx.</t>
        </r>
      </text>
    </comment>
  </commentList>
</comments>
</file>

<file path=xl/sharedStrings.xml><?xml version="1.0" encoding="utf-8"?>
<sst xmlns="http://schemas.openxmlformats.org/spreadsheetml/2006/main" count="679" uniqueCount="251">
  <si>
    <t>Corn</t>
  </si>
  <si>
    <t>Soybeans</t>
  </si>
  <si>
    <t>Fertilizer</t>
  </si>
  <si>
    <t>Fuel and oil, repairs</t>
  </si>
  <si>
    <t>Labor</t>
  </si>
  <si>
    <t>Expected soybean insurance payment</t>
  </si>
  <si>
    <t>Expected corn insurance payment</t>
  </si>
  <si>
    <t>Expected replant insurance payment</t>
  </si>
  <si>
    <t>Guarantee, % elected</t>
  </si>
  <si>
    <t>Custom hire charges</t>
  </si>
  <si>
    <t>Crop insurance premium (if second crop soybeans are insured)</t>
  </si>
  <si>
    <t>Insurance premium, $ per acre</t>
  </si>
  <si>
    <t>Crop insurance</t>
  </si>
  <si>
    <t>Expected revenue from cash sales</t>
  </si>
  <si>
    <t>Total added costs per acre</t>
  </si>
  <si>
    <t>Total expected revenue per acre</t>
  </si>
  <si>
    <t>Preharvest costs</t>
  </si>
  <si>
    <t>Harvest costs</t>
  </si>
  <si>
    <t>Replant Corn</t>
  </si>
  <si>
    <t>Expected return minus added costs per acre</t>
  </si>
  <si>
    <t>Added costs of production, $ per acre</t>
  </si>
  <si>
    <r>
      <t xml:space="preserve">Switch to </t>
    </r>
    <r>
      <rPr>
        <u/>
        <sz val="10"/>
        <rFont val="Arial"/>
        <family val="2"/>
      </rPr>
      <t>Soybeans</t>
    </r>
  </si>
  <si>
    <r>
      <t xml:space="preserve">Prevented </t>
    </r>
    <r>
      <rPr>
        <u/>
        <sz val="10"/>
        <rFont val="Arial"/>
        <family val="2"/>
      </rPr>
      <t>Planting</t>
    </r>
  </si>
  <si>
    <t>Indemnity Prices</t>
  </si>
  <si>
    <t>Late Corn</t>
  </si>
  <si>
    <t>Early Corn</t>
  </si>
  <si>
    <t>Yield Protection</t>
  </si>
  <si>
    <t>Central and North MO</t>
  </si>
  <si>
    <t>Southeast and Southwest MO</t>
  </si>
  <si>
    <t>SE and SW MO</t>
  </si>
  <si>
    <t>County</t>
  </si>
  <si>
    <t>ADAIR</t>
  </si>
  <si>
    <t>ANDREW</t>
  </si>
  <si>
    <t>ATCHISON</t>
  </si>
  <si>
    <t>AUDRAIN</t>
  </si>
  <si>
    <t>BARRY</t>
  </si>
  <si>
    <t>BARTON</t>
  </si>
  <si>
    <t>BATES</t>
  </si>
  <si>
    <t>BENTON</t>
  </si>
  <si>
    <t>BOLLINGER</t>
  </si>
  <si>
    <t>BOONE</t>
  </si>
  <si>
    <t>BUCHANAN</t>
  </si>
  <si>
    <t>BUTLER</t>
  </si>
  <si>
    <t>CALDWELL</t>
  </si>
  <si>
    <t>CALLAWAY</t>
  </si>
  <si>
    <t>CAMDEN</t>
  </si>
  <si>
    <t>CAPE GIRARDEAU</t>
  </si>
  <si>
    <t>CARROLL</t>
  </si>
  <si>
    <t>CARTER</t>
  </si>
  <si>
    <t>CASS</t>
  </si>
  <si>
    <t>CEDAR</t>
  </si>
  <si>
    <t>CHARITON</t>
  </si>
  <si>
    <t>CHRISTIAN</t>
  </si>
  <si>
    <t>CLARK</t>
  </si>
  <si>
    <t>CLAY</t>
  </si>
  <si>
    <t>CLINTON</t>
  </si>
  <si>
    <t>COLE</t>
  </si>
  <si>
    <t>COOPER</t>
  </si>
  <si>
    <t>CRAWFORD</t>
  </si>
  <si>
    <t>DADE</t>
  </si>
  <si>
    <t>DALLAS</t>
  </si>
  <si>
    <t>DAVIESS</t>
  </si>
  <si>
    <t>DEKALB</t>
  </si>
  <si>
    <t>DENT</t>
  </si>
  <si>
    <t>DOUGLAS</t>
  </si>
  <si>
    <t>DUNKLIN</t>
  </si>
  <si>
    <t>FRANKLIN</t>
  </si>
  <si>
    <t>GASCONADE</t>
  </si>
  <si>
    <t>GENTRY</t>
  </si>
  <si>
    <t>GREENE</t>
  </si>
  <si>
    <t>GRUNDY</t>
  </si>
  <si>
    <t>HARRISON</t>
  </si>
  <si>
    <t>HENRY</t>
  </si>
  <si>
    <t>HICKORY</t>
  </si>
  <si>
    <t>HOLT</t>
  </si>
  <si>
    <t>HOWARD</t>
  </si>
  <si>
    <t>HOWELL</t>
  </si>
  <si>
    <t>IRON</t>
  </si>
  <si>
    <t>JACKSON</t>
  </si>
  <si>
    <t>JASPER</t>
  </si>
  <si>
    <t>JEFFERSON</t>
  </si>
  <si>
    <t>JOHNSON</t>
  </si>
  <si>
    <t>KNOX</t>
  </si>
  <si>
    <t>LACLEDE</t>
  </si>
  <si>
    <t>LAFAYETTE</t>
  </si>
  <si>
    <t>LAWRENCE</t>
  </si>
  <si>
    <t>LEWIS</t>
  </si>
  <si>
    <t>LINCOLN</t>
  </si>
  <si>
    <t>LINN</t>
  </si>
  <si>
    <t>LIVINGSTON</t>
  </si>
  <si>
    <t>MACON</t>
  </si>
  <si>
    <t>MADISON</t>
  </si>
  <si>
    <t>MARIES</t>
  </si>
  <si>
    <t>MARION</t>
  </si>
  <si>
    <t>MCDONALD</t>
  </si>
  <si>
    <t>MERCER</t>
  </si>
  <si>
    <t>MILLER</t>
  </si>
  <si>
    <t>MISSISSIPPI</t>
  </si>
  <si>
    <t>MONITEAU</t>
  </si>
  <si>
    <t>MONROE</t>
  </si>
  <si>
    <t>MONTGOMERY</t>
  </si>
  <si>
    <t>MORGAN</t>
  </si>
  <si>
    <t>NEW MADRID</t>
  </si>
  <si>
    <t>NEWTON</t>
  </si>
  <si>
    <t>NODAWAY</t>
  </si>
  <si>
    <t>OREGON</t>
  </si>
  <si>
    <t>OSAGE</t>
  </si>
  <si>
    <t>OZARK</t>
  </si>
  <si>
    <t>PEMISCOT</t>
  </si>
  <si>
    <t>PERRY</t>
  </si>
  <si>
    <t>PETTIS</t>
  </si>
  <si>
    <t>PHELPS</t>
  </si>
  <si>
    <t>PIKE</t>
  </si>
  <si>
    <t>PLATTE</t>
  </si>
  <si>
    <t>POLK</t>
  </si>
  <si>
    <t>PULASKI</t>
  </si>
  <si>
    <t>PUTNAM</t>
  </si>
  <si>
    <t>RALLS</t>
  </si>
  <si>
    <t>RANDOLPH</t>
  </si>
  <si>
    <t>RAY</t>
  </si>
  <si>
    <t>REYNOLDS</t>
  </si>
  <si>
    <t>RIPLEY</t>
  </si>
  <si>
    <t>SALINE</t>
  </si>
  <si>
    <t>SCHUYLER</t>
  </si>
  <si>
    <t>SCOTLAND</t>
  </si>
  <si>
    <t>SCOTT</t>
  </si>
  <si>
    <t>SHANNON</t>
  </si>
  <si>
    <t>SHELBY</t>
  </si>
  <si>
    <t>ST. CHARLES</t>
  </si>
  <si>
    <t>ST. CLAIR</t>
  </si>
  <si>
    <t>ST. FRANCOIS</t>
  </si>
  <si>
    <t>ST. LOUIS</t>
  </si>
  <si>
    <t>ST. LOUIS CITY</t>
  </si>
  <si>
    <t>STODDARD</t>
  </si>
  <si>
    <t>STONE</t>
  </si>
  <si>
    <t>SULLIVAN</t>
  </si>
  <si>
    <t>TANEY</t>
  </si>
  <si>
    <t>TEXAS</t>
  </si>
  <si>
    <t>VERNON</t>
  </si>
  <si>
    <t>WARREN</t>
  </si>
  <si>
    <t>WASHINGTON</t>
  </si>
  <si>
    <t>WAYNE</t>
  </si>
  <si>
    <t>WEBSTER</t>
  </si>
  <si>
    <t>WORTH</t>
  </si>
  <si>
    <t>WRIGHT</t>
  </si>
  <si>
    <t>Corn Final Planting Date</t>
  </si>
  <si>
    <t>Soybean Final Planting Date</t>
  </si>
  <si>
    <t>Impact on Future Insurance</t>
  </si>
  <si>
    <t>New APH</t>
  </si>
  <si>
    <t>Variability factor for crop insurance premium estimation?</t>
  </si>
  <si>
    <t>Revenue Protection</t>
  </si>
  <si>
    <t>Region</t>
  </si>
  <si>
    <t>Type of crop insurance</t>
  </si>
  <si>
    <t>Yield Protection Price Election</t>
  </si>
  <si>
    <t>Coverage Election</t>
  </si>
  <si>
    <t>Normal yield with timely planting, bushels/acre</t>
  </si>
  <si>
    <t>Appraised yield after crop damage, bushels/acre</t>
  </si>
  <si>
    <t>APH yield, bushels/acre</t>
  </si>
  <si>
    <t>Expected late planting or replanting date</t>
  </si>
  <si>
    <t>Seed: replant corn or soybean seed, or cover crop for prevented planting</t>
  </si>
  <si>
    <t>Yield Information</t>
  </si>
  <si>
    <t>Price Information</t>
  </si>
  <si>
    <t>Herbicides, Insecticides, Chemicals</t>
  </si>
  <si>
    <t>Drying, handling and hauling ($/bu)</t>
  </si>
  <si>
    <t xml:space="preserve">County:  </t>
  </si>
  <si>
    <t>Expected harvest cash price, $ per bushel</t>
  </si>
  <si>
    <t>Expected October futures price, $ per bushel</t>
  </si>
  <si>
    <t>USDA Established Indemnity Prices, $/bushel</t>
  </si>
  <si>
    <r>
      <t xml:space="preserve">Harvest
</t>
    </r>
    <r>
      <rPr>
        <u/>
        <sz val="10"/>
        <rFont val="Arial"/>
        <family val="2"/>
      </rPr>
      <t>Corn as is</t>
    </r>
  </si>
  <si>
    <t>Price Election for Yield Protection, % elected</t>
  </si>
  <si>
    <t>Initial Planting Date</t>
  </si>
  <si>
    <t>Corn Initial Planting Date</t>
  </si>
  <si>
    <t>Soybean Initial Planting Date</t>
  </si>
  <si>
    <t>Ideas</t>
  </si>
  <si>
    <t>Enter your input values in blue shaded cells.</t>
  </si>
  <si>
    <t>Plant Soybeans Late</t>
  </si>
  <si>
    <t>Prevented Planting Election</t>
  </si>
  <si>
    <t>Computed values are in gray gray shaded cells</t>
  </si>
  <si>
    <t>Delayed Planting and Replanting Insurance Evaluator</t>
  </si>
  <si>
    <t>Choose the tab that  fits the situation you are wanting to evaluate.</t>
  </si>
  <si>
    <t>Each tab consists of a table that allows the user to enter the situation to be analyzed and a graph that shows the breakeven time when a particular decision becomes most profitable.</t>
  </si>
  <si>
    <t>At the bottom right hand corner of the tables the final income is reported along with icons that indicate which is most profitable (green icon indicates greatest profit from that decision).</t>
  </si>
  <si>
    <t>Year</t>
  </si>
  <si>
    <t>How your choice impacts your variability factor and future insurance premiums</t>
  </si>
  <si>
    <t>How your choice to replant affects your APH yield and future insurance guarantees.</t>
  </si>
  <si>
    <t>The RMA publishes the indemnity prices for corn and soybeans in early March.</t>
  </si>
  <si>
    <t>This must be updated each year for the tool to work properly.</t>
  </si>
  <si>
    <t>Instructions</t>
  </si>
  <si>
    <t>The early planting always gives maximum expected yield.  This may not be true for very early plantings due to germination or other production problems.</t>
  </si>
  <si>
    <t>a</t>
  </si>
  <si>
    <t>b</t>
  </si>
  <si>
    <t>c</t>
  </si>
  <si>
    <t>Soybean</t>
  </si>
  <si>
    <t>Percent of normal</t>
  </si>
  <si>
    <t>Payments under different plans</t>
  </si>
  <si>
    <t>Base year</t>
  </si>
  <si>
    <t>This year</t>
  </si>
  <si>
    <t>Year Adjustment</t>
  </si>
  <si>
    <t>Date for estimating yield percent</t>
  </si>
  <si>
    <t>Yield Estimate Coefficients</t>
  </si>
  <si>
    <t>Yield Estimates</t>
  </si>
  <si>
    <t>This program does not consider the following:</t>
  </si>
  <si>
    <t>Each crop has 2 tabs (seen below): One for planted but damaged crops and one for crops prevented from being planted.</t>
  </si>
  <si>
    <t>Note: county is important for late planted yield estimates and date dependent crop insurance provisions</t>
  </si>
  <si>
    <t>Initial planting date</t>
  </si>
  <si>
    <t>Late Planting period: begin</t>
  </si>
  <si>
    <t>Late planting period: end</t>
  </si>
  <si>
    <t>Practical to replant period ends</t>
  </si>
  <si>
    <t>Crops planted before this date are not eligible for replanting payments</t>
  </si>
  <si>
    <t>Practical to replant</t>
  </si>
  <si>
    <t>Final planting date</t>
  </si>
  <si>
    <t>Each year necessary updates</t>
  </si>
  <si>
    <t>1. Update indemnity prices</t>
  </si>
  <si>
    <t>2. Update year in RMAData. Use CTRL-H to search for previous year (e.g. 2019) and change to current year (e.g. 2020)</t>
  </si>
  <si>
    <t>Prevented Planting Coverage Level</t>
  </si>
  <si>
    <t>Practical to replant determination</t>
  </si>
  <si>
    <t>Practical to replant determinants</t>
  </si>
  <si>
    <t>Percent of guarantee</t>
  </si>
  <si>
    <t>Guaranteed Yield (bushels/acre)</t>
  </si>
  <si>
    <t>Plan</t>
  </si>
  <si>
    <t>Guaranteed Revenue (dollars/acre)</t>
  </si>
  <si>
    <t>Crops planted after this date receive less insurance coverage</t>
  </si>
  <si>
    <t>Insurance coverage decreases 1% for each day after final planting date</t>
  </si>
  <si>
    <t>Crops planted after this date are covered at the chosen prevented planting level</t>
  </si>
  <si>
    <t>Farmers chosing not to replant during the Practical to Replant Period lose insurance coverage</t>
  </si>
  <si>
    <t>Switch to Soybean Insurance Implications</t>
  </si>
  <si>
    <t>Corn Insurance Preliminary payment</t>
  </si>
  <si>
    <t>Guarantee adjusted for planting date</t>
  </si>
  <si>
    <t>Expected yield based on late/re-planting date, bushels/acre</t>
  </si>
  <si>
    <t>None</t>
  </si>
  <si>
    <t>Replant  Indemnities</t>
  </si>
  <si>
    <r>
      <t>Corn Already Planted</t>
    </r>
    <r>
      <rPr>
        <sz val="11"/>
        <rFont val="Arial"/>
        <family val="2"/>
      </rPr>
      <t>, Options:</t>
    </r>
  </si>
  <si>
    <t>Duration of Insurance Periods</t>
  </si>
  <si>
    <t>Late Planting: Corn</t>
  </si>
  <si>
    <t>Late Planting: Soybean</t>
  </si>
  <si>
    <r>
      <t xml:space="preserve">Harvest
</t>
    </r>
    <r>
      <rPr>
        <u/>
        <sz val="10"/>
        <rFont val="Arial"/>
        <family val="2"/>
      </rPr>
      <t>Soybean as is</t>
    </r>
  </si>
  <si>
    <r>
      <rPr>
        <sz val="10"/>
        <rFont val="Arial"/>
        <family val="2"/>
      </rPr>
      <t>Replant</t>
    </r>
    <r>
      <rPr>
        <u/>
        <sz val="10"/>
        <rFont val="Arial"/>
        <family val="2"/>
      </rPr>
      <t xml:space="preserve"> Soybean</t>
    </r>
  </si>
  <si>
    <t>Plant Corn Late</t>
  </si>
  <si>
    <r>
      <t>Corn Prevented Planted</t>
    </r>
    <r>
      <rPr>
        <sz val="11"/>
        <rFont val="Arial"/>
        <family val="2"/>
      </rPr>
      <t>, Options:</t>
    </r>
  </si>
  <si>
    <r>
      <t>Soybean Already Planted</t>
    </r>
    <r>
      <rPr>
        <sz val="11"/>
        <rFont val="Arial"/>
        <family val="2"/>
      </rPr>
      <t>, Options:</t>
    </r>
  </si>
  <si>
    <t>Seed: corn or soybean seed, or cover crop for prevented planting</t>
  </si>
  <si>
    <r>
      <t>Soybeans Prevented Planted</t>
    </r>
    <r>
      <rPr>
        <sz val="11"/>
        <rFont val="Arial"/>
        <family val="2"/>
      </rPr>
      <t>, Options:</t>
    </r>
  </si>
  <si>
    <t xml:space="preserve">The data for late planting yield reductions in MO does not currently have results that last through the entire RMA late planting season.  </t>
  </si>
  <si>
    <t xml:space="preserve">This evaluation tool is meant to be used by farmers who have purchased crop insurance and have early season production problems such as flooding, poor germination or prevented planting.
It is designed to be used only for corn and soybean crops.  </t>
  </si>
  <si>
    <t>3. Check for Crop insurance changes from RMA to see if changes need to be made to the program logic.</t>
  </si>
  <si>
    <t>Column1</t>
  </si>
  <si>
    <t>Column2</t>
  </si>
  <si>
    <t>Important RMA dates</t>
  </si>
  <si>
    <t>Relevance</t>
  </si>
  <si>
    <t>ST. GENEVIEVE</t>
  </si>
  <si>
    <t>Last Updated: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</si>
</sst>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0.0"/>
    <numFmt numFmtId="165" formatCode="_(* #,##0_);_(* \(#,##0\);_(* &quot;-&quot;??_);_(@_)"/>
    <numFmt numFmtId="166" formatCode="m/d;@"/>
    <numFmt numFmtId="167" formatCode="[$-409]d\-mmm;@"/>
    <numFmt numFmtId="168" formatCode="[$-409]mmm\-yy;@"/>
    <numFmt numFmtId="169" formatCode="mmm\ dd\,\ yyyy"/>
    <numFmt numFmtId="170" formatCode="m/d/yy;@"/>
    <numFmt numFmtId="171" formatCode="[$-409]mmmm\ d\,\ yyyy;@"/>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u/>
      <sz val="10"/>
      <color indexed="12"/>
      <name val="Arial"/>
      <family val="2"/>
    </font>
    <font>
      <sz val="8"/>
      <color indexed="81"/>
      <name val="Tahoma"/>
      <family val="2"/>
    </font>
    <font>
      <sz val="11"/>
      <name val="Arial"/>
      <family val="2"/>
    </font>
    <font>
      <b/>
      <sz val="10"/>
      <name val="Arial"/>
      <family val="2"/>
    </font>
    <font>
      <sz val="10"/>
      <name val="Arial"/>
      <family val="2"/>
    </font>
    <font>
      <u/>
      <sz val="10"/>
      <name val="Arial"/>
      <family val="2"/>
    </font>
    <font>
      <sz val="10"/>
      <name val="Arial"/>
      <family val="2"/>
    </font>
    <font>
      <u val="singleAccounting"/>
      <sz val="10"/>
      <name val="Arial"/>
      <family val="2"/>
    </font>
    <font>
      <sz val="10"/>
      <name val="Arial"/>
      <family val="2"/>
    </font>
    <font>
      <b/>
      <sz val="11"/>
      <color indexed="63"/>
      <name val="Arial"/>
      <family val="2"/>
    </font>
    <font>
      <u/>
      <sz val="10"/>
      <color indexed="45"/>
      <name val="Arial"/>
      <family val="2"/>
    </font>
    <font>
      <sz val="9"/>
      <name val="Arial"/>
      <family val="2"/>
    </font>
    <font>
      <b/>
      <sz val="10"/>
      <color indexed="60"/>
      <name val="Arial"/>
      <family val="2"/>
    </font>
    <font>
      <sz val="6"/>
      <name val="Arial"/>
      <family val="2"/>
    </font>
    <font>
      <sz val="8"/>
      <color indexed="63"/>
      <name val="Univers"/>
      <family val="2"/>
    </font>
    <font>
      <b/>
      <sz val="11"/>
      <name val="Arial"/>
      <family val="2"/>
    </font>
    <font>
      <sz val="9"/>
      <color indexed="81"/>
      <name val="Tahoma"/>
      <family val="2"/>
    </font>
    <font>
      <b/>
      <sz val="9"/>
      <color indexed="81"/>
      <name val="Tahoma"/>
      <family val="2"/>
    </font>
    <font>
      <sz val="10"/>
      <color rgb="FFFF0000"/>
      <name val="Arial"/>
      <family val="2"/>
    </font>
    <font>
      <sz val="11"/>
      <color rgb="FFFF0000"/>
      <name val="Arial"/>
      <family val="2"/>
    </font>
    <font>
      <sz val="9"/>
      <color rgb="FFFF0000"/>
      <name val="Arial"/>
      <family val="2"/>
    </font>
    <font>
      <b/>
      <sz val="13"/>
      <color theme="3"/>
      <name val="Calibri"/>
      <family val="2"/>
      <scheme val="minor"/>
    </font>
    <font>
      <b/>
      <sz val="11"/>
      <color theme="3"/>
      <name val="Calibri"/>
      <family val="2"/>
      <scheme val="minor"/>
    </font>
    <font>
      <b/>
      <sz val="11"/>
      <color theme="1"/>
      <name val="Calibri"/>
      <family val="2"/>
      <scheme val="minor"/>
    </font>
    <font>
      <b/>
      <sz val="14"/>
      <name val="Arial"/>
      <family val="2"/>
    </font>
    <font>
      <b/>
      <sz val="11"/>
      <name val="Calibri"/>
      <family val="2"/>
      <scheme val="minor"/>
    </font>
    <font>
      <sz val="10"/>
      <name val="Calibri"/>
      <family val="2"/>
      <scheme val="minor"/>
    </font>
    <font>
      <sz val="11"/>
      <name val="Calibri"/>
      <family val="2"/>
      <scheme val="minor"/>
    </font>
    <font>
      <sz val="11"/>
      <color indexed="63"/>
      <name val="Calibri"/>
      <family val="2"/>
      <scheme val="minor"/>
    </font>
    <font>
      <u/>
      <sz val="12"/>
      <name val="Arial"/>
      <family val="2"/>
    </font>
    <font>
      <b/>
      <sz val="14"/>
      <color theme="0"/>
      <name val="Arial"/>
      <family val="2"/>
    </font>
    <font>
      <sz val="12"/>
      <name val="Arial"/>
      <family val="2"/>
    </font>
    <font>
      <b/>
      <sz val="12"/>
      <name val="Arial"/>
      <family val="2"/>
    </font>
    <font>
      <i/>
      <sz val="9"/>
      <name val="Arial"/>
      <family val="2"/>
    </font>
    <font>
      <i/>
      <sz val="8"/>
      <name val="Arial"/>
      <family val="2"/>
    </font>
    <font>
      <sz val="10"/>
      <color theme="1"/>
      <name val="Arial"/>
      <family val="2"/>
    </font>
    <font>
      <sz val="12"/>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theme="0" tint="-0.34998626667073579"/>
        <bgColor indexed="64"/>
      </patternFill>
    </fill>
    <fill>
      <patternFill patternType="solid">
        <fgColor theme="4" tint="0.79998168889431442"/>
        <bgColor indexed="65"/>
      </patternFill>
    </fill>
    <fill>
      <patternFill patternType="solid">
        <fgColor theme="0" tint="-4.9989318521683403E-2"/>
        <bgColor indexed="64"/>
      </patternFill>
    </fill>
    <fill>
      <patternFill patternType="solid">
        <fgColor rgb="FFB9A45A"/>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s>
  <borders count="43">
    <border>
      <left/>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4" tint="0.49998474074526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theme="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auto="1"/>
      </left>
      <right/>
      <top style="medium">
        <color auto="1"/>
      </top>
      <bottom style="thick">
        <color theme="4" tint="0.499984740745262"/>
      </bottom>
      <diagonal/>
    </border>
    <border>
      <left style="medium">
        <color auto="1"/>
      </left>
      <right/>
      <top/>
      <bottom style="thick">
        <color theme="4" tint="0.499984740745262"/>
      </bottom>
      <diagonal/>
    </border>
    <border>
      <left style="medium">
        <color auto="1"/>
      </left>
      <right/>
      <top style="thin">
        <color theme="4"/>
      </top>
      <bottom style="double">
        <color theme="4"/>
      </bottom>
      <diagonal/>
    </border>
    <border>
      <left/>
      <right style="medium">
        <color auto="1"/>
      </right>
      <top style="thin">
        <color theme="4"/>
      </top>
      <bottom style="double">
        <color theme="4"/>
      </bottom>
      <diagonal/>
    </border>
    <border>
      <left/>
      <right/>
      <top/>
      <bottom style="thin">
        <color theme="4"/>
      </bottom>
      <diagonal/>
    </border>
    <border>
      <left/>
      <right style="medium">
        <color auto="1"/>
      </right>
      <top/>
      <bottom style="thin">
        <color theme="4"/>
      </bottom>
      <diagonal/>
    </border>
    <border>
      <left style="medium">
        <color theme="1"/>
      </left>
      <right/>
      <top style="thin">
        <color theme="4"/>
      </top>
      <bottom style="double">
        <color theme="4"/>
      </bottom>
      <diagonal/>
    </border>
    <border>
      <left/>
      <right style="medium">
        <color theme="1"/>
      </right>
      <top style="thin">
        <color theme="4"/>
      </top>
      <bottom style="double">
        <color theme="4"/>
      </bottom>
      <diagonal/>
    </border>
    <border>
      <left style="medium">
        <color theme="1"/>
      </left>
      <right/>
      <top style="thin">
        <color theme="4"/>
      </top>
      <bottom style="medium">
        <color theme="1"/>
      </bottom>
      <diagonal/>
    </border>
    <border>
      <left/>
      <right/>
      <top style="thin">
        <color theme="4"/>
      </top>
      <bottom style="medium">
        <color theme="1"/>
      </bottom>
      <diagonal/>
    </border>
    <border>
      <left/>
      <right style="medium">
        <color theme="1"/>
      </right>
      <top style="thin">
        <color theme="4"/>
      </top>
      <bottom style="medium">
        <color theme="1"/>
      </bottom>
      <diagonal/>
    </border>
    <border>
      <left style="medium">
        <color auto="1"/>
      </left>
      <right/>
      <top style="thin">
        <color theme="4"/>
      </top>
      <bottom style="medium">
        <color auto="1"/>
      </bottom>
      <diagonal/>
    </border>
    <border>
      <left/>
      <right/>
      <top style="thin">
        <color theme="4"/>
      </top>
      <bottom style="medium">
        <color auto="1"/>
      </bottom>
      <diagonal/>
    </border>
    <border>
      <left/>
      <right style="medium">
        <color auto="1"/>
      </right>
      <top style="thin">
        <color theme="4"/>
      </top>
      <bottom style="medium">
        <color auto="1"/>
      </bottom>
      <diagonal/>
    </border>
    <border>
      <left/>
      <right/>
      <top/>
      <bottom style="thick">
        <color theme="1"/>
      </bottom>
      <diagonal/>
    </border>
    <border>
      <left/>
      <right style="thick">
        <color auto="1"/>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ck">
        <color theme="1"/>
      </top>
      <bottom/>
      <diagonal/>
    </border>
    <border>
      <left/>
      <right/>
      <top/>
      <bottom style="thick">
        <color indexed="64"/>
      </bottom>
      <diagonal/>
    </border>
    <border>
      <left/>
      <right style="medium">
        <color auto="1"/>
      </right>
      <top style="thin">
        <color theme="4"/>
      </top>
      <bottom style="medium">
        <color theme="1"/>
      </bottom>
      <diagonal/>
    </border>
    <border>
      <left style="medium">
        <color auto="1"/>
      </left>
      <right/>
      <top style="thin">
        <color theme="4"/>
      </top>
      <bottom style="medium">
        <color theme="1"/>
      </bottom>
      <diagonal/>
    </border>
  </borders>
  <cellStyleXfs count="12">
    <xf numFmtId="0" fontId="0" fillId="0" borderId="0"/>
    <xf numFmtId="43" fontId="6" fillId="0" borderId="0" applyFont="0" applyFill="0" applyBorder="0" applyAlignment="0" applyProtection="0"/>
    <xf numFmtId="44" fontId="6" fillId="0" borderId="0" applyFont="0" applyFill="0" applyBorder="0" applyAlignment="0" applyProtection="0"/>
    <xf numFmtId="0" fontId="9" fillId="0" borderId="0" applyNumberFormat="0" applyFill="0" applyBorder="0" applyAlignment="0" applyProtection="0">
      <alignment vertical="top"/>
      <protection locked="0"/>
    </xf>
    <xf numFmtId="9" fontId="6" fillId="0" borderId="0" applyFont="0" applyFill="0" applyBorder="0" applyAlignment="0" applyProtection="0"/>
    <xf numFmtId="0" fontId="30" fillId="0" borderId="10" applyNumberFormat="0" applyFill="0" applyAlignment="0" applyProtection="0"/>
    <xf numFmtId="0" fontId="31" fillId="0" borderId="0" applyNumberFormat="0" applyFill="0" applyBorder="0" applyAlignment="0" applyProtection="0"/>
    <xf numFmtId="0" fontId="32" fillId="0" borderId="11" applyNumberFormat="0" applyFill="0" applyAlignment="0" applyProtection="0"/>
    <xf numFmtId="0" fontId="5" fillId="4" borderId="0" applyNumberFormat="0" applyBorder="0" applyAlignment="0" applyProtection="0"/>
    <xf numFmtId="0" fontId="4" fillId="0" borderId="0"/>
    <xf numFmtId="0" fontId="6" fillId="0" borderId="0"/>
    <xf numFmtId="0" fontId="6" fillId="0" borderId="0"/>
  </cellStyleXfs>
  <cellXfs count="430">
    <xf numFmtId="0" fontId="0" fillId="0" borderId="0" xfId="0"/>
    <xf numFmtId="0" fontId="6" fillId="0" borderId="0" xfId="0" applyFont="1"/>
    <xf numFmtId="0" fontId="13" fillId="0" borderId="0" xfId="0" applyFont="1"/>
    <xf numFmtId="0" fontId="13" fillId="0" borderId="1" xfId="0" applyFont="1" applyBorder="1"/>
    <xf numFmtId="0" fontId="15" fillId="0" borderId="0" xfId="0" applyFont="1"/>
    <xf numFmtId="0" fontId="15" fillId="0" borderId="0" xfId="0" applyFont="1" applyAlignment="1">
      <alignment horizontal="center" wrapText="1"/>
    </xf>
    <xf numFmtId="16" fontId="15" fillId="0" borderId="0" xfId="0" applyNumberFormat="1" applyFont="1"/>
    <xf numFmtId="44" fontId="13" fillId="0" borderId="0" xfId="2" applyFont="1" applyBorder="1" applyProtection="1"/>
    <xf numFmtId="44" fontId="13" fillId="0" borderId="0" xfId="2" applyFont="1" applyFill="1" applyBorder="1" applyProtection="1"/>
    <xf numFmtId="43" fontId="13" fillId="0" borderId="0" xfId="1" applyFont="1" applyFill="1" applyBorder="1" applyProtection="1"/>
    <xf numFmtId="0" fontId="13" fillId="0" borderId="2" xfId="0" applyFont="1" applyBorder="1"/>
    <xf numFmtId="43" fontId="13" fillId="0" borderId="0" xfId="1" applyFont="1" applyBorder="1" applyProtection="1"/>
    <xf numFmtId="44" fontId="12" fillId="0" borderId="0" xfId="0" applyNumberFormat="1" applyFont="1"/>
    <xf numFmtId="0" fontId="20" fillId="0" borderId="0" xfId="0" applyFont="1"/>
    <xf numFmtId="0" fontId="12" fillId="0" borderId="0" xfId="0" applyFont="1"/>
    <xf numFmtId="0" fontId="6" fillId="0" borderId="1" xfId="0" applyFont="1" applyBorder="1" applyAlignment="1">
      <alignment horizontal="left" vertical="top"/>
    </xf>
    <xf numFmtId="0" fontId="11" fillId="0" borderId="0" xfId="0" applyFont="1"/>
    <xf numFmtId="44" fontId="15" fillId="0" borderId="0" xfId="2" applyFont="1" applyFill="1" applyBorder="1" applyProtection="1"/>
    <xf numFmtId="0" fontId="28" fillId="0" borderId="0" xfId="0" applyFont="1"/>
    <xf numFmtId="49" fontId="0" fillId="0" borderId="0" xfId="0" applyNumberFormat="1"/>
    <xf numFmtId="166" fontId="0" fillId="0" borderId="0" xfId="0" applyNumberFormat="1"/>
    <xf numFmtId="49" fontId="8" fillId="0" borderId="0" xfId="0" applyNumberFormat="1" applyFont="1"/>
    <xf numFmtId="49" fontId="6" fillId="0" borderId="0" xfId="0" applyNumberFormat="1" applyFont="1"/>
    <xf numFmtId="0" fontId="6" fillId="0" borderId="0" xfId="0" applyFont="1" applyAlignment="1">
      <alignment horizontal="left"/>
    </xf>
    <xf numFmtId="0" fontId="6" fillId="0" borderId="1" xfId="0" applyFont="1" applyBorder="1"/>
    <xf numFmtId="0" fontId="6" fillId="0" borderId="1" xfId="0" applyFont="1" applyBorder="1" applyAlignment="1">
      <alignment horizontal="left"/>
    </xf>
    <xf numFmtId="0" fontId="15" fillId="0" borderId="0" xfId="0" applyFont="1" applyAlignment="1">
      <alignment horizontal="left"/>
    </xf>
    <xf numFmtId="8" fontId="13" fillId="0" borderId="0" xfId="0" applyNumberFormat="1" applyFont="1" applyAlignment="1">
      <alignment horizontal="right"/>
    </xf>
    <xf numFmtId="43" fontId="16" fillId="0" borderId="0" xfId="1" applyFont="1" applyFill="1" applyBorder="1" applyAlignment="1" applyProtection="1">
      <alignment vertical="top"/>
    </xf>
    <xf numFmtId="44" fontId="13" fillId="0" borderId="0" xfId="2" applyFont="1" applyFill="1" applyBorder="1" applyAlignment="1" applyProtection="1">
      <alignment horizontal="right"/>
    </xf>
    <xf numFmtId="0" fontId="7" fillId="0" borderId="0" xfId="0" applyFont="1"/>
    <xf numFmtId="8" fontId="12" fillId="0" borderId="0" xfId="0" applyNumberFormat="1" applyFont="1"/>
    <xf numFmtId="0" fontId="12" fillId="0" borderId="0" xfId="0" applyFont="1" applyAlignment="1">
      <alignment horizontal="left"/>
    </xf>
    <xf numFmtId="0" fontId="13" fillId="0" borderId="0" xfId="0" applyFont="1" applyAlignment="1">
      <alignment horizontal="center" wrapText="1"/>
    </xf>
    <xf numFmtId="0" fontId="19" fillId="0" borderId="0" xfId="3" applyFont="1" applyFill="1" applyBorder="1" applyAlignment="1" applyProtection="1">
      <alignment horizontal="left"/>
    </xf>
    <xf numFmtId="0" fontId="6" fillId="0" borderId="0" xfId="3" applyFont="1" applyFill="1" applyBorder="1" applyAlignment="1" applyProtection="1">
      <alignment horizontal="left"/>
    </xf>
    <xf numFmtId="0" fontId="8" fillId="0" borderId="0" xfId="0" applyFont="1"/>
    <xf numFmtId="164" fontId="15" fillId="0" borderId="0" xfId="1" applyNumberFormat="1" applyFont="1" applyFill="1" applyBorder="1" applyProtection="1"/>
    <xf numFmtId="44" fontId="13" fillId="5" borderId="1" xfId="2" applyFont="1" applyFill="1" applyBorder="1" applyAlignment="1" applyProtection="1">
      <alignment horizontal="right"/>
    </xf>
    <xf numFmtId="8" fontId="13" fillId="0" borderId="0" xfId="0" applyNumberFormat="1" applyFont="1"/>
    <xf numFmtId="8" fontId="5" fillId="4" borderId="2" xfId="8" applyNumberFormat="1" applyBorder="1" applyAlignment="1" applyProtection="1">
      <alignment horizontal="center" vertical="top"/>
      <protection locked="0"/>
    </xf>
    <xf numFmtId="0" fontId="6" fillId="5" borderId="1" xfId="0" applyFont="1" applyFill="1" applyBorder="1" applyAlignment="1">
      <alignment horizontal="right"/>
    </xf>
    <xf numFmtId="0" fontId="6" fillId="0" borderId="0" xfId="0" applyFont="1" applyAlignment="1">
      <alignment horizontal="right"/>
    </xf>
    <xf numFmtId="8" fontId="5" fillId="4" borderId="2" xfId="8" applyNumberFormat="1" applyBorder="1" applyAlignment="1" applyProtection="1">
      <alignment horizontal="right" vertical="top"/>
      <protection locked="0"/>
    </xf>
    <xf numFmtId="0" fontId="13" fillId="0" borderId="0" xfId="0" applyFont="1" applyAlignment="1">
      <alignment horizontal="right"/>
    </xf>
    <xf numFmtId="43" fontId="6" fillId="0" borderId="0" xfId="1" applyFont="1" applyFill="1" applyBorder="1" applyAlignment="1" applyProtection="1">
      <alignment horizontal="right" vertical="top"/>
    </xf>
    <xf numFmtId="0" fontId="14" fillId="0" borderId="0" xfId="0" applyFont="1" applyAlignment="1">
      <alignment horizontal="center" wrapText="1"/>
    </xf>
    <xf numFmtId="0" fontId="31" fillId="0" borderId="1" xfId="6" applyBorder="1" applyAlignment="1" applyProtection="1">
      <alignment horizontal="left"/>
    </xf>
    <xf numFmtId="0" fontId="31" fillId="0" borderId="1" xfId="6" applyFill="1" applyBorder="1" applyAlignment="1" applyProtection="1">
      <alignment horizontal="left"/>
    </xf>
    <xf numFmtId="8" fontId="13" fillId="0" borderId="0" xfId="1" applyNumberFormat="1" applyFont="1" applyFill="1" applyBorder="1" applyProtection="1"/>
    <xf numFmtId="8" fontId="13" fillId="5" borderId="2" xfId="1" applyNumberFormat="1" applyFont="1" applyFill="1" applyBorder="1" applyProtection="1"/>
    <xf numFmtId="0" fontId="13" fillId="0" borderId="0" xfId="0" applyFont="1" applyAlignment="1">
      <alignment horizontal="left"/>
    </xf>
    <xf numFmtId="0" fontId="12" fillId="0" borderId="0" xfId="0" applyFont="1" applyAlignment="1">
      <alignment horizontal="center"/>
    </xf>
    <xf numFmtId="8" fontId="5" fillId="4" borderId="0" xfId="8" applyNumberFormat="1" applyBorder="1" applyAlignment="1" applyProtection="1">
      <alignment horizontal="center" vertical="top"/>
      <protection locked="0"/>
    </xf>
    <xf numFmtId="0" fontId="30" fillId="0" borderId="10" xfId="5" applyFill="1" applyAlignment="1" applyProtection="1">
      <alignment horizontal="left"/>
    </xf>
    <xf numFmtId="0" fontId="6" fillId="0" borderId="14" xfId="0" applyFont="1" applyBorder="1"/>
    <xf numFmtId="0" fontId="6" fillId="0" borderId="22" xfId="0" applyFont="1" applyBorder="1"/>
    <xf numFmtId="0" fontId="6" fillId="0" borderId="23" xfId="0" applyFont="1" applyBorder="1"/>
    <xf numFmtId="43" fontId="5" fillId="4" borderId="12" xfId="8" applyNumberFormat="1" applyBorder="1" applyAlignment="1" applyProtection="1">
      <alignment horizontal="right"/>
      <protection locked="0"/>
    </xf>
    <xf numFmtId="8" fontId="5" fillId="4" borderId="6" xfId="8" applyNumberFormat="1" applyBorder="1" applyAlignment="1" applyProtection="1">
      <alignment horizontal="right" vertical="top"/>
      <protection locked="0"/>
    </xf>
    <xf numFmtId="8" fontId="5" fillId="4" borderId="12" xfId="8" applyNumberFormat="1" applyBorder="1" applyAlignment="1" applyProtection="1">
      <alignment horizontal="right"/>
      <protection locked="0"/>
    </xf>
    <xf numFmtId="0" fontId="12" fillId="0" borderId="2" xfId="0" applyFont="1" applyBorder="1" applyAlignment="1">
      <alignment horizontal="center"/>
    </xf>
    <xf numFmtId="8" fontId="5" fillId="0" borderId="13" xfId="8" applyNumberFormat="1" applyFill="1" applyBorder="1" applyAlignment="1" applyProtection="1">
      <alignment horizontal="right"/>
    </xf>
    <xf numFmtId="8" fontId="5" fillId="4" borderId="17" xfId="8" applyNumberFormat="1" applyBorder="1" applyAlignment="1" applyProtection="1">
      <alignment horizontal="right"/>
      <protection locked="0"/>
    </xf>
    <xf numFmtId="0" fontId="32" fillId="0" borderId="11" xfId="7" applyProtection="1"/>
    <xf numFmtId="0" fontId="32" fillId="0" borderId="11" xfId="7" applyFill="1" applyProtection="1"/>
    <xf numFmtId="0" fontId="32" fillId="0" borderId="24" xfId="7" applyBorder="1" applyProtection="1"/>
    <xf numFmtId="0" fontId="32" fillId="0" borderId="25" xfId="7" applyBorder="1" applyProtection="1"/>
    <xf numFmtId="8" fontId="32" fillId="5" borderId="21" xfId="7" applyNumberFormat="1" applyFill="1" applyBorder="1" applyAlignment="1" applyProtection="1">
      <alignment horizontal="right"/>
    </xf>
    <xf numFmtId="0" fontId="6" fillId="0" borderId="0" xfId="0" applyFont="1" applyAlignment="1">
      <alignment vertical="top"/>
    </xf>
    <xf numFmtId="0" fontId="32" fillId="0" borderId="0" xfId="7" applyBorder="1" applyProtection="1"/>
    <xf numFmtId="8" fontId="32" fillId="5" borderId="11" xfId="7" applyNumberFormat="1" applyFill="1" applyAlignment="1" applyProtection="1">
      <alignment horizontal="right"/>
    </xf>
    <xf numFmtId="0" fontId="24" fillId="0" borderId="0" xfId="0" applyFont="1"/>
    <xf numFmtId="8" fontId="5" fillId="4" borderId="0" xfId="8" applyNumberFormat="1" applyBorder="1" applyAlignment="1" applyProtection="1">
      <alignment horizontal="center"/>
      <protection locked="0"/>
    </xf>
    <xf numFmtId="8" fontId="5" fillId="4" borderId="2" xfId="8" applyNumberFormat="1" applyBorder="1" applyAlignment="1" applyProtection="1">
      <alignment horizontal="center"/>
      <protection locked="0"/>
    </xf>
    <xf numFmtId="0" fontId="5" fillId="4" borderId="0" xfId="8" applyBorder="1" applyAlignment="1" applyProtection="1">
      <alignment horizontal="center"/>
      <protection locked="0"/>
    </xf>
    <xf numFmtId="0" fontId="5" fillId="4" borderId="2" xfId="8" applyBorder="1" applyAlignment="1" applyProtection="1">
      <alignment horizontal="center"/>
      <protection locked="0"/>
    </xf>
    <xf numFmtId="0" fontId="5" fillId="4" borderId="0" xfId="8" applyBorder="1" applyAlignment="1" applyProtection="1">
      <alignment horizontal="left"/>
    </xf>
    <xf numFmtId="9" fontId="5" fillId="4" borderId="0" xfId="8" applyNumberFormat="1" applyBorder="1" applyAlignment="1" applyProtection="1">
      <alignment horizontal="center"/>
      <protection locked="0"/>
    </xf>
    <xf numFmtId="9" fontId="5" fillId="4" borderId="2" xfId="8" applyNumberFormat="1" applyBorder="1" applyAlignment="1" applyProtection="1">
      <alignment horizontal="center"/>
      <protection locked="0"/>
    </xf>
    <xf numFmtId="0" fontId="34" fillId="0" borderId="5" xfId="0" applyFont="1" applyBorder="1" applyAlignment="1">
      <alignment horizontal="center"/>
    </xf>
    <xf numFmtId="0" fontId="34" fillId="0" borderId="3" xfId="0" applyFont="1" applyBorder="1" applyAlignment="1">
      <alignment horizontal="center"/>
    </xf>
    <xf numFmtId="0" fontId="34" fillId="0" borderId="0" xfId="0" applyFont="1" applyAlignment="1">
      <alignment horizontal="center"/>
    </xf>
    <xf numFmtId="0" fontId="34" fillId="0" borderId="2" xfId="0" applyFont="1" applyBorder="1" applyAlignment="1">
      <alignment horizontal="center"/>
    </xf>
    <xf numFmtId="0" fontId="36" fillId="0" borderId="0" xfId="0" applyFont="1" applyAlignment="1">
      <alignment horizontal="left"/>
    </xf>
    <xf numFmtId="0" fontId="34" fillId="0" borderId="0" xfId="0" applyFont="1" applyAlignment="1">
      <alignment horizontal="left"/>
    </xf>
    <xf numFmtId="9" fontId="36" fillId="0" borderId="0" xfId="4" applyFont="1" applyFill="1" applyBorder="1" applyAlignment="1" applyProtection="1">
      <alignment horizontal="center"/>
    </xf>
    <xf numFmtId="9" fontId="36" fillId="5" borderId="2" xfId="4" applyFont="1" applyFill="1" applyBorder="1" applyAlignment="1" applyProtection="1">
      <alignment horizontal="center"/>
    </xf>
    <xf numFmtId="8" fontId="13" fillId="5" borderId="1" xfId="1" applyNumberFormat="1" applyFont="1" applyFill="1" applyBorder="1" applyProtection="1"/>
    <xf numFmtId="8" fontId="13" fillId="5" borderId="0" xfId="1" applyNumberFormat="1" applyFont="1" applyFill="1" applyBorder="1" applyProtection="1"/>
    <xf numFmtId="8" fontId="13" fillId="0" borderId="0" xfId="1" applyNumberFormat="1" applyFont="1" applyBorder="1" applyProtection="1"/>
    <xf numFmtId="8" fontId="16" fillId="5" borderId="1" xfId="1" applyNumberFormat="1" applyFont="1" applyFill="1" applyBorder="1" applyProtection="1"/>
    <xf numFmtId="8" fontId="16" fillId="0" borderId="0" xfId="1" applyNumberFormat="1" applyFont="1" applyFill="1" applyBorder="1" applyProtection="1"/>
    <xf numFmtId="8" fontId="17" fillId="5" borderId="0" xfId="1" applyNumberFormat="1" applyFont="1" applyFill="1" applyBorder="1" applyProtection="1"/>
    <xf numFmtId="8" fontId="17" fillId="0" borderId="0" xfId="1" applyNumberFormat="1" applyFont="1" applyFill="1" applyBorder="1" applyProtection="1"/>
    <xf numFmtId="8" fontId="16" fillId="5" borderId="2" xfId="1" applyNumberFormat="1" applyFont="1" applyFill="1" applyBorder="1" applyProtection="1"/>
    <xf numFmtId="8" fontId="16" fillId="0" borderId="0" xfId="1" applyNumberFormat="1" applyFont="1" applyBorder="1" applyProtection="1"/>
    <xf numFmtId="8" fontId="32" fillId="5" borderId="20" xfId="7" applyNumberFormat="1" applyFill="1" applyBorder="1" applyProtection="1"/>
    <xf numFmtId="8" fontId="32" fillId="0" borderId="0" xfId="7" applyNumberFormat="1" applyFill="1" applyBorder="1" applyProtection="1"/>
    <xf numFmtId="8" fontId="32" fillId="5" borderId="11" xfId="7" applyNumberFormat="1" applyFill="1" applyProtection="1"/>
    <xf numFmtId="8" fontId="32" fillId="0" borderId="0" xfId="7" applyNumberFormat="1" applyBorder="1" applyProtection="1"/>
    <xf numFmtId="8" fontId="32" fillId="5" borderId="21" xfId="7" applyNumberFormat="1" applyFill="1" applyBorder="1" applyProtection="1"/>
    <xf numFmtId="8" fontId="32" fillId="0" borderId="20" xfId="7" applyNumberFormat="1" applyBorder="1" applyProtection="1"/>
    <xf numFmtId="8" fontId="32" fillId="5" borderId="20" xfId="7" applyNumberFormat="1" applyFill="1" applyBorder="1" applyAlignment="1" applyProtection="1">
      <alignment horizontal="right"/>
    </xf>
    <xf numFmtId="8" fontId="32" fillId="0" borderId="0" xfId="7" applyNumberFormat="1" applyFill="1" applyBorder="1" applyAlignment="1" applyProtection="1">
      <alignment horizontal="right"/>
    </xf>
    <xf numFmtId="8" fontId="32" fillId="0" borderId="26" xfId="7" applyNumberFormat="1" applyBorder="1" applyProtection="1"/>
    <xf numFmtId="8" fontId="32" fillId="0" borderId="27" xfId="7" applyNumberFormat="1" applyBorder="1" applyProtection="1"/>
    <xf numFmtId="8" fontId="32" fillId="0" borderId="27" xfId="7" applyNumberFormat="1" applyFill="1" applyBorder="1" applyProtection="1"/>
    <xf numFmtId="8" fontId="32" fillId="0" borderId="28" xfId="7" applyNumberFormat="1" applyBorder="1" applyProtection="1"/>
    <xf numFmtId="8" fontId="32" fillId="5" borderId="29" xfId="7" applyNumberFormat="1" applyFill="1" applyBorder="1" applyProtection="1"/>
    <xf numFmtId="8" fontId="32" fillId="0" borderId="4" xfId="7" applyNumberFormat="1" applyFill="1" applyBorder="1" applyProtection="1"/>
    <xf numFmtId="8" fontId="32" fillId="5" borderId="30" xfId="7" applyNumberFormat="1" applyFill="1" applyBorder="1" applyProtection="1"/>
    <xf numFmtId="8" fontId="32" fillId="0" borderId="4" xfId="7" applyNumberFormat="1" applyBorder="1" applyProtection="1"/>
    <xf numFmtId="8" fontId="32" fillId="5" borderId="31" xfId="7" applyNumberFormat="1" applyFill="1" applyBorder="1" applyProtection="1"/>
    <xf numFmtId="0" fontId="36" fillId="0" borderId="0" xfId="0" applyFont="1" applyAlignment="1">
      <alignment horizontal="right"/>
    </xf>
    <xf numFmtId="0" fontId="7" fillId="0" borderId="1" xfId="0" applyFont="1" applyBorder="1" applyAlignment="1">
      <alignment horizontal="left"/>
    </xf>
    <xf numFmtId="0" fontId="6" fillId="0" borderId="0" xfId="0" applyFont="1" applyAlignment="1">
      <alignment horizontal="center" wrapText="1"/>
    </xf>
    <xf numFmtId="166" fontId="4" fillId="0" borderId="0" xfId="9" applyNumberFormat="1"/>
    <xf numFmtId="0" fontId="4" fillId="0" borderId="0" xfId="9"/>
    <xf numFmtId="0" fontId="20" fillId="7" borderId="0" xfId="0" applyFont="1" applyFill="1"/>
    <xf numFmtId="9" fontId="15" fillId="0" borderId="0" xfId="4" applyFont="1" applyFill="1" applyBorder="1" applyProtection="1"/>
    <xf numFmtId="0" fontId="3" fillId="4" borderId="0" xfId="8" applyFont="1" applyBorder="1" applyAlignment="1" applyProtection="1">
      <alignment horizontal="left"/>
    </xf>
    <xf numFmtId="0" fontId="0" fillId="0" borderId="0" xfId="0" applyAlignment="1">
      <alignment wrapText="1"/>
    </xf>
    <xf numFmtId="0" fontId="7" fillId="0" borderId="0" xfId="0" applyFont="1" applyAlignment="1">
      <alignment wrapText="1"/>
    </xf>
    <xf numFmtId="49" fontId="7" fillId="0" borderId="0" xfId="0" applyNumberFormat="1" applyFont="1" applyAlignment="1">
      <alignment wrapText="1"/>
    </xf>
    <xf numFmtId="169" fontId="5" fillId="4" borderId="0" xfId="8" applyNumberFormat="1" applyBorder="1" applyAlignment="1" applyProtection="1">
      <alignment horizontal="center"/>
      <protection locked="0"/>
    </xf>
    <xf numFmtId="169" fontId="5" fillId="4" borderId="2" xfId="8" applyNumberFormat="1" applyBorder="1" applyAlignment="1" applyProtection="1">
      <alignment horizontal="center"/>
      <protection locked="0"/>
    </xf>
    <xf numFmtId="14" fontId="0" fillId="0" borderId="0" xfId="0" applyNumberFormat="1"/>
    <xf numFmtId="164" fontId="6" fillId="0" borderId="0" xfId="1" applyNumberFormat="1" applyFont="1" applyFill="1" applyBorder="1" applyProtection="1"/>
    <xf numFmtId="0" fontId="13" fillId="0" borderId="1" xfId="0" applyFont="1" applyBorder="1" applyAlignment="1">
      <alignment horizontal="left"/>
    </xf>
    <xf numFmtId="14" fontId="6" fillId="0" borderId="0" xfId="0" applyNumberFormat="1" applyFont="1" applyAlignment="1">
      <alignment horizontal="left"/>
    </xf>
    <xf numFmtId="0" fontId="30" fillId="0" borderId="19" xfId="5" applyBorder="1" applyAlignment="1" applyProtection="1">
      <alignment horizontal="left"/>
    </xf>
    <xf numFmtId="8" fontId="36" fillId="5" borderId="0" xfId="0" applyNumberFormat="1" applyFont="1" applyFill="1" applyAlignment="1">
      <alignment horizontal="center"/>
    </xf>
    <xf numFmtId="8" fontId="36" fillId="5" borderId="2" xfId="0" applyNumberFormat="1" applyFont="1" applyFill="1" applyBorder="1" applyAlignment="1">
      <alignment horizontal="center"/>
    </xf>
    <xf numFmtId="8" fontId="15" fillId="5" borderId="1" xfId="0" applyNumberFormat="1" applyFont="1" applyFill="1" applyBorder="1" applyAlignment="1">
      <alignment horizontal="right"/>
    </xf>
    <xf numFmtId="8" fontId="15" fillId="0" borderId="0" xfId="0" applyNumberFormat="1" applyFont="1" applyAlignment="1">
      <alignment horizontal="right"/>
    </xf>
    <xf numFmtId="8" fontId="15" fillId="5" borderId="0" xfId="0" applyNumberFormat="1" applyFont="1" applyFill="1" applyAlignment="1">
      <alignment horizontal="right"/>
    </xf>
    <xf numFmtId="8" fontId="15" fillId="5" borderId="2" xfId="0" applyNumberFormat="1" applyFont="1" applyFill="1" applyBorder="1" applyAlignment="1">
      <alignment horizontal="right"/>
    </xf>
    <xf numFmtId="165" fontId="6" fillId="5" borderId="1" xfId="0" applyNumberFormat="1" applyFont="1" applyFill="1" applyBorder="1" applyAlignment="1">
      <alignment horizontal="center"/>
    </xf>
    <xf numFmtId="165" fontId="6" fillId="0" borderId="0" xfId="0" applyNumberFormat="1" applyFont="1" applyAlignment="1">
      <alignment horizontal="center"/>
    </xf>
    <xf numFmtId="165" fontId="6" fillId="5" borderId="0" xfId="0" applyNumberFormat="1" applyFont="1" applyFill="1" applyAlignment="1">
      <alignment horizontal="center"/>
    </xf>
    <xf numFmtId="165" fontId="6" fillId="5" borderId="2" xfId="0" applyNumberFormat="1" applyFont="1" applyFill="1" applyBorder="1" applyAlignment="1">
      <alignment horizontal="center"/>
    </xf>
    <xf numFmtId="8" fontId="6" fillId="5" borderId="1" xfId="0" applyNumberFormat="1" applyFont="1" applyFill="1" applyBorder="1" applyAlignment="1">
      <alignment horizontal="center"/>
    </xf>
    <xf numFmtId="8" fontId="6" fillId="0" borderId="0" xfId="0" applyNumberFormat="1" applyFont="1" applyAlignment="1">
      <alignment horizontal="right"/>
    </xf>
    <xf numFmtId="8" fontId="6" fillId="5" borderId="0" xfId="0" applyNumberFormat="1" applyFont="1" applyFill="1" applyAlignment="1">
      <alignment horizontal="right"/>
    </xf>
    <xf numFmtId="8" fontId="6" fillId="5" borderId="2" xfId="0" applyNumberFormat="1" applyFont="1" applyFill="1" applyBorder="1" applyAlignment="1">
      <alignment horizontal="right"/>
    </xf>
    <xf numFmtId="0" fontId="33" fillId="6" borderId="0" xfId="0" applyFont="1" applyFill="1"/>
    <xf numFmtId="0" fontId="33" fillId="6" borderId="32" xfId="0" applyFont="1" applyFill="1" applyBorder="1"/>
    <xf numFmtId="0" fontId="39" fillId="6" borderId="32" xfId="0" applyFont="1" applyFill="1" applyBorder="1"/>
    <xf numFmtId="0" fontId="8" fillId="6" borderId="33" xfId="0" applyFont="1" applyFill="1" applyBorder="1"/>
    <xf numFmtId="0" fontId="33" fillId="0" borderId="0" xfId="0" applyFont="1"/>
    <xf numFmtId="0" fontId="37" fillId="5" borderId="0" xfId="0" applyFont="1" applyFill="1"/>
    <xf numFmtId="0" fontId="18" fillId="5" borderId="0" xfId="0" applyFont="1" applyFill="1"/>
    <xf numFmtId="0" fontId="18" fillId="0" borderId="0" xfId="0" applyFont="1"/>
    <xf numFmtId="3" fontId="15" fillId="0" borderId="0" xfId="0" applyNumberFormat="1" applyFont="1"/>
    <xf numFmtId="0" fontId="27" fillId="0" borderId="0" xfId="0" applyFont="1"/>
    <xf numFmtId="0" fontId="0" fillId="6" borderId="33" xfId="0" applyFill="1" applyBorder="1"/>
    <xf numFmtId="0" fontId="30" fillId="0" borderId="18" xfId="5" applyBorder="1" applyProtection="1"/>
    <xf numFmtId="0" fontId="11" fillId="0" borderId="5" xfId="0" applyFont="1" applyBorder="1"/>
    <xf numFmtId="0" fontId="36" fillId="0" borderId="5" xfId="0" applyFont="1" applyBorder="1"/>
    <xf numFmtId="8" fontId="36" fillId="0" borderId="0" xfId="2" applyNumberFormat="1" applyFont="1" applyFill="1" applyBorder="1" applyAlignment="1" applyProtection="1">
      <alignment horizontal="center"/>
    </xf>
    <xf numFmtId="0" fontId="36" fillId="0" borderId="0" xfId="0" applyFont="1"/>
    <xf numFmtId="0" fontId="30" fillId="0" borderId="19" xfId="5" applyBorder="1" applyProtection="1"/>
    <xf numFmtId="0" fontId="36" fillId="0" borderId="0" xfId="0" applyFont="1" applyAlignment="1">
      <alignment horizontal="center"/>
    </xf>
    <xf numFmtId="0" fontId="36" fillId="0" borderId="2" xfId="0" applyFont="1" applyBorder="1" applyAlignment="1">
      <alignment horizontal="center"/>
    </xf>
    <xf numFmtId="16" fontId="6" fillId="0" borderId="0" xfId="0" applyNumberFormat="1" applyFont="1"/>
    <xf numFmtId="16" fontId="13" fillId="0" borderId="0" xfId="0" applyNumberFormat="1" applyFont="1"/>
    <xf numFmtId="169" fontId="36" fillId="0" borderId="0" xfId="0" applyNumberFormat="1" applyFont="1" applyAlignment="1">
      <alignment horizontal="center"/>
    </xf>
    <xf numFmtId="0" fontId="0" fillId="0" borderId="0" xfId="0" applyAlignment="1">
      <alignment horizontal="center"/>
    </xf>
    <xf numFmtId="0" fontId="6" fillId="0" borderId="0" xfId="0" quotePrefix="1" applyFont="1"/>
    <xf numFmtId="0" fontId="35" fillId="0" borderId="0" xfId="0" applyFont="1"/>
    <xf numFmtId="9" fontId="0" fillId="0" borderId="0" xfId="0" applyNumberFormat="1"/>
    <xf numFmtId="0" fontId="0" fillId="0" borderId="1" xfId="0" applyBorder="1"/>
    <xf numFmtId="0" fontId="0" fillId="0" borderId="2" xfId="0" applyBorder="1"/>
    <xf numFmtId="0" fontId="15" fillId="0" borderId="2" xfId="0" applyFont="1" applyBorder="1"/>
    <xf numFmtId="168" fontId="15" fillId="0" borderId="0" xfId="0" applyNumberFormat="1" applyFont="1"/>
    <xf numFmtId="0" fontId="6" fillId="6" borderId="33" xfId="0" applyFont="1" applyFill="1" applyBorder="1"/>
    <xf numFmtId="0" fontId="7" fillId="0" borderId="1" xfId="0" applyFont="1" applyBorder="1"/>
    <xf numFmtId="0" fontId="6" fillId="0" borderId="2" xfId="0" applyFont="1" applyBorder="1"/>
    <xf numFmtId="0" fontId="5" fillId="0" borderId="15" xfId="8" applyFill="1" applyBorder="1" applyAlignment="1" applyProtection="1"/>
    <xf numFmtId="8" fontId="5" fillId="0" borderId="6" xfId="8" applyNumberFormat="1" applyFill="1" applyBorder="1" applyAlignment="1" applyProtection="1">
      <alignment horizontal="right" vertical="top"/>
    </xf>
    <xf numFmtId="43" fontId="13" fillId="0" borderId="0" xfId="1" applyFont="1" applyFill="1" applyBorder="1" applyAlignment="1" applyProtection="1">
      <alignment horizontal="right"/>
    </xf>
    <xf numFmtId="0" fontId="7" fillId="0" borderId="0" xfId="0" applyFont="1" applyAlignment="1">
      <alignment horizontal="center"/>
    </xf>
    <xf numFmtId="44" fontId="5" fillId="0" borderId="12" xfId="8" applyNumberFormat="1" applyFill="1" applyBorder="1" applyAlignment="1" applyProtection="1">
      <alignment horizontal="right"/>
    </xf>
    <xf numFmtId="8" fontId="5" fillId="0" borderId="0" xfId="8" applyNumberFormat="1" applyFill="1" applyBorder="1" applyAlignment="1" applyProtection="1">
      <alignment horizontal="center" vertical="top"/>
    </xf>
    <xf numFmtId="0" fontId="6" fillId="6" borderId="33" xfId="0" applyFont="1" applyFill="1" applyBorder="1" applyAlignment="1">
      <alignment vertical="top"/>
    </xf>
    <xf numFmtId="0" fontId="17" fillId="0" borderId="0" xfId="0" applyFont="1" applyAlignment="1">
      <alignment vertical="top"/>
    </xf>
    <xf numFmtId="0" fontId="17" fillId="0" borderId="2" xfId="0" applyFont="1" applyBorder="1" applyAlignment="1">
      <alignment vertical="top"/>
    </xf>
    <xf numFmtId="8" fontId="0" fillId="6" borderId="33" xfId="0" applyNumberFormat="1" applyFill="1" applyBorder="1"/>
    <xf numFmtId="8" fontId="0" fillId="0" borderId="0" xfId="0" applyNumberFormat="1"/>
    <xf numFmtId="8" fontId="32" fillId="0" borderId="11" xfId="7" applyNumberFormat="1" applyAlignment="1" applyProtection="1">
      <alignment vertical="top"/>
    </xf>
    <xf numFmtId="8" fontId="32" fillId="0" borderId="11" xfId="7" applyNumberFormat="1" applyFill="1" applyAlignment="1" applyProtection="1">
      <alignment vertical="top"/>
    </xf>
    <xf numFmtId="8" fontId="32" fillId="0" borderId="11" xfId="7" applyNumberFormat="1" applyProtection="1"/>
    <xf numFmtId="8" fontId="32" fillId="0" borderId="11" xfId="7" applyNumberFormat="1" applyFill="1" applyProtection="1"/>
    <xf numFmtId="8" fontId="32" fillId="0" borderId="25" xfId="7" applyNumberFormat="1" applyBorder="1" applyProtection="1"/>
    <xf numFmtId="0" fontId="6" fillId="0" borderId="1" xfId="0" applyFont="1" applyBorder="1" applyAlignment="1">
      <alignment vertical="top"/>
    </xf>
    <xf numFmtId="8" fontId="17" fillId="5" borderId="0" xfId="0" applyNumberFormat="1" applyFont="1" applyFill="1" applyAlignment="1">
      <alignment vertical="top"/>
    </xf>
    <xf numFmtId="8" fontId="17" fillId="0" borderId="0" xfId="0" applyNumberFormat="1" applyFont="1" applyAlignment="1">
      <alignment vertical="top"/>
    </xf>
    <xf numFmtId="8" fontId="17" fillId="5" borderId="2" xfId="0" applyNumberFormat="1" applyFont="1" applyFill="1" applyBorder="1" applyAlignment="1">
      <alignment vertical="top"/>
    </xf>
    <xf numFmtId="0" fontId="17" fillId="0" borderId="0" xfId="0" applyFont="1"/>
    <xf numFmtId="8" fontId="6" fillId="0" borderId="0" xfId="0" applyNumberFormat="1" applyFont="1"/>
    <xf numFmtId="0" fontId="0" fillId="3" borderId="0" xfId="0" applyFill="1"/>
    <xf numFmtId="0" fontId="11" fillId="3" borderId="0" xfId="0" applyFont="1" applyFill="1"/>
    <xf numFmtId="0" fontId="6" fillId="3" borderId="0" xfId="0" applyFont="1" applyFill="1"/>
    <xf numFmtId="16" fontId="13" fillId="3" borderId="0" xfId="0" applyNumberFormat="1" applyFont="1" applyFill="1"/>
    <xf numFmtId="0" fontId="13" fillId="3" borderId="0" xfId="0" applyFont="1" applyFill="1"/>
    <xf numFmtId="0" fontId="15" fillId="2" borderId="0" xfId="0" applyFont="1" applyFill="1"/>
    <xf numFmtId="0" fontId="27" fillId="2" borderId="0" xfId="0" applyFont="1" applyFill="1"/>
    <xf numFmtId="0" fontId="29" fillId="0" borderId="0" xfId="0" applyFont="1"/>
    <xf numFmtId="0" fontId="21" fillId="0" borderId="0" xfId="0" applyFont="1"/>
    <xf numFmtId="9" fontId="0" fillId="0" borderId="0" xfId="4" applyFont="1" applyProtection="1"/>
    <xf numFmtId="2" fontId="0" fillId="0" borderId="0" xfId="0" applyNumberFormat="1"/>
    <xf numFmtId="0" fontId="6" fillId="7" borderId="0" xfId="0" applyFont="1" applyFill="1"/>
    <xf numFmtId="0" fontId="23" fillId="0" borderId="0" xfId="0" applyFont="1" applyAlignment="1">
      <alignment horizontal="left"/>
    </xf>
    <xf numFmtId="0" fontId="22" fillId="0" borderId="0" xfId="0" applyFont="1"/>
    <xf numFmtId="0" fontId="6" fillId="7" borderId="0" xfId="0" quotePrefix="1" applyFont="1" applyFill="1" applyAlignment="1">
      <alignment horizontal="left"/>
    </xf>
    <xf numFmtId="3" fontId="0" fillId="0" borderId="0" xfId="4" applyNumberFormat="1" applyFont="1" applyProtection="1"/>
    <xf numFmtId="0" fontId="7" fillId="7" borderId="0" xfId="0" applyFont="1" applyFill="1"/>
    <xf numFmtId="0" fontId="0" fillId="0" borderId="0" xfId="0" quotePrefix="1" applyAlignment="1">
      <alignment horizontal="left"/>
    </xf>
    <xf numFmtId="0" fontId="6" fillId="7" borderId="0" xfId="0" applyFont="1" applyFill="1" applyAlignment="1">
      <alignment horizontal="right"/>
    </xf>
    <xf numFmtId="16" fontId="0" fillId="0" borderId="0" xfId="0" applyNumberFormat="1"/>
    <xf numFmtId="0" fontId="6" fillId="7" borderId="0" xfId="0" applyFont="1" applyFill="1" applyAlignment="1">
      <alignment horizontal="center"/>
    </xf>
    <xf numFmtId="0" fontId="15" fillId="6" borderId="33" xfId="0" applyFont="1" applyFill="1" applyBorder="1"/>
    <xf numFmtId="0" fontId="11" fillId="0" borderId="0" xfId="0" applyFont="1" applyAlignment="1">
      <alignment horizontal="right"/>
    </xf>
    <xf numFmtId="9" fontId="15" fillId="0" borderId="0" xfId="0" applyNumberFormat="1" applyFont="1"/>
    <xf numFmtId="165" fontId="13" fillId="0" borderId="0" xfId="1" applyNumberFormat="1" applyFont="1" applyFill="1" applyBorder="1" applyAlignment="1" applyProtection="1"/>
    <xf numFmtId="0" fontId="14" fillId="0" borderId="0" xfId="0" applyFont="1" applyAlignment="1">
      <alignment horizontal="right"/>
    </xf>
    <xf numFmtId="0" fontId="15" fillId="0" borderId="0" xfId="0" applyFont="1" applyAlignment="1">
      <alignment horizontal="right"/>
    </xf>
    <xf numFmtId="16" fontId="6" fillId="0" borderId="0" xfId="0" applyNumberFormat="1" applyFont="1" applyAlignment="1">
      <alignment horizontal="left"/>
    </xf>
    <xf numFmtId="1" fontId="0" fillId="0" borderId="0" xfId="0" applyNumberFormat="1" applyAlignment="1">
      <alignment horizontal="left"/>
    </xf>
    <xf numFmtId="1" fontId="0" fillId="0" borderId="0" xfId="0" applyNumberFormat="1"/>
    <xf numFmtId="16" fontId="0" fillId="0" borderId="0" xfId="0" applyNumberFormat="1" applyAlignment="1">
      <alignment horizontal="left"/>
    </xf>
    <xf numFmtId="14" fontId="44" fillId="0" borderId="0" xfId="10" applyNumberFormat="1" applyFont="1"/>
    <xf numFmtId="164" fontId="15" fillId="0" borderId="0" xfId="0" applyNumberFormat="1" applyFont="1"/>
    <xf numFmtId="14" fontId="15" fillId="0" borderId="0" xfId="0" applyNumberFormat="1" applyFont="1" applyAlignment="1">
      <alignment horizontal="right"/>
    </xf>
    <xf numFmtId="0" fontId="7" fillId="0" borderId="0" xfId="0" applyFont="1" applyAlignment="1">
      <alignment horizontal="left"/>
    </xf>
    <xf numFmtId="0" fontId="44" fillId="0" borderId="0" xfId="11" applyFont="1"/>
    <xf numFmtId="0" fontId="44" fillId="0" borderId="4" xfId="11" applyFont="1" applyBorder="1"/>
    <xf numFmtId="170" fontId="0" fillId="0" borderId="0" xfId="0" applyNumberFormat="1"/>
    <xf numFmtId="0" fontId="5" fillId="4" borderId="12" xfId="8" applyBorder="1" applyAlignment="1" applyProtection="1">
      <alignment horizontal="right"/>
      <protection locked="0"/>
    </xf>
    <xf numFmtId="8" fontId="5" fillId="4" borderId="13" xfId="8" applyNumberFormat="1" applyBorder="1" applyAlignment="1" applyProtection="1">
      <alignment horizontal="right"/>
      <protection locked="0"/>
    </xf>
    <xf numFmtId="0" fontId="5" fillId="4" borderId="12" xfId="8" applyBorder="1" applyAlignment="1" applyProtection="1">
      <protection locked="0"/>
    </xf>
    <xf numFmtId="8" fontId="5" fillId="4" borderId="1" xfId="8" applyNumberFormat="1" applyBorder="1" applyAlignment="1" applyProtection="1">
      <alignment horizontal="right" vertical="top"/>
      <protection locked="0"/>
    </xf>
    <xf numFmtId="8" fontId="5" fillId="4" borderId="16" xfId="8" applyNumberFormat="1" applyBorder="1" applyAlignment="1" applyProtection="1">
      <alignment horizontal="right"/>
      <protection locked="0"/>
    </xf>
    <xf numFmtId="8" fontId="5" fillId="4" borderId="0" xfId="8" applyNumberFormat="1" applyBorder="1" applyAlignment="1" applyProtection="1">
      <alignment horizontal="right"/>
      <protection locked="0"/>
    </xf>
    <xf numFmtId="0" fontId="38" fillId="0" borderId="0" xfId="0" applyFont="1" applyAlignment="1">
      <alignment horizontal="left"/>
    </xf>
    <xf numFmtId="9" fontId="6" fillId="0" borderId="0" xfId="0" applyNumberFormat="1" applyFont="1"/>
    <xf numFmtId="0" fontId="33" fillId="6" borderId="40" xfId="0" applyFont="1" applyFill="1" applyBorder="1"/>
    <xf numFmtId="0" fontId="33" fillId="7" borderId="0" xfId="0" applyFont="1" applyFill="1"/>
    <xf numFmtId="0" fontId="33" fillId="7" borderId="39" xfId="0" applyFont="1" applyFill="1" applyBorder="1"/>
    <xf numFmtId="0" fontId="40" fillId="7" borderId="0" xfId="0" applyFont="1" applyFill="1" applyAlignment="1">
      <alignment vertical="center" wrapText="1"/>
    </xf>
    <xf numFmtId="0" fontId="0" fillId="7" borderId="0" xfId="0" applyFill="1"/>
    <xf numFmtId="0" fontId="8" fillId="7" borderId="0" xfId="0" applyFont="1" applyFill="1"/>
    <xf numFmtId="0" fontId="6" fillId="7" borderId="0" xfId="0" applyFont="1" applyFill="1" applyAlignment="1">
      <alignment wrapText="1"/>
    </xf>
    <xf numFmtId="0" fontId="0" fillId="7" borderId="7" xfId="0" applyFill="1" applyBorder="1"/>
    <xf numFmtId="0" fontId="6" fillId="7" borderId="12" xfId="0" applyFont="1" applyFill="1" applyBorder="1" applyAlignment="1">
      <alignment horizontal="center"/>
    </xf>
    <xf numFmtId="0" fontId="0" fillId="7" borderId="37" xfId="0" applyFill="1" applyBorder="1" applyAlignment="1">
      <alignment horizontal="center"/>
    </xf>
    <xf numFmtId="0" fontId="0" fillId="7" borderId="6" xfId="0" applyFill="1" applyBorder="1" applyAlignment="1">
      <alignment horizontal="center"/>
    </xf>
    <xf numFmtId="22" fontId="0" fillId="7" borderId="0" xfId="0" applyNumberFormat="1" applyFill="1"/>
    <xf numFmtId="0" fontId="6" fillId="7" borderId="0" xfId="0" applyFont="1" applyFill="1" applyAlignment="1">
      <alignment horizontal="left" wrapText="1"/>
    </xf>
    <xf numFmtId="0" fontId="6" fillId="7" borderId="0" xfId="0" applyFont="1" applyFill="1" applyAlignment="1">
      <alignment vertical="top" wrapText="1"/>
    </xf>
    <xf numFmtId="0" fontId="42" fillId="7" borderId="0" xfId="0" applyFont="1" applyFill="1" applyAlignment="1">
      <alignment wrapText="1"/>
    </xf>
    <xf numFmtId="0" fontId="0" fillId="7" borderId="34" xfId="0" applyFill="1" applyBorder="1" applyAlignment="1" applyProtection="1">
      <alignment horizontal="center"/>
      <protection locked="0"/>
    </xf>
    <xf numFmtId="8" fontId="0" fillId="8" borderId="38" xfId="0" applyNumberFormat="1" applyFill="1" applyBorder="1" applyAlignment="1" applyProtection="1">
      <alignment horizontal="center"/>
      <protection locked="0"/>
    </xf>
    <xf numFmtId="8" fontId="0" fillId="8" borderId="35" xfId="0" applyNumberFormat="1" applyFill="1" applyBorder="1" applyAlignment="1" applyProtection="1">
      <alignment horizontal="center"/>
      <protection locked="0"/>
    </xf>
    <xf numFmtId="0" fontId="6" fillId="5" borderId="1" xfId="0" applyFont="1" applyFill="1" applyBorder="1" applyAlignment="1">
      <alignment horizontal="center" wrapText="1"/>
    </xf>
    <xf numFmtId="16" fontId="2" fillId="4" borderId="0" xfId="8" applyNumberFormat="1" applyFont="1" applyBorder="1" applyAlignment="1" applyProtection="1">
      <alignment horizontal="left"/>
      <protection locked="0"/>
    </xf>
    <xf numFmtId="0" fontId="13" fillId="0" borderId="2" xfId="0" applyFont="1" applyBorder="1" applyAlignment="1">
      <alignment horizontal="left"/>
    </xf>
    <xf numFmtId="0" fontId="5" fillId="4" borderId="0" xfId="8" applyBorder="1" applyAlignment="1" applyProtection="1">
      <alignment horizontal="right" wrapText="1"/>
      <protection locked="0"/>
    </xf>
    <xf numFmtId="0" fontId="45" fillId="0" borderId="0" xfId="0" applyFont="1"/>
    <xf numFmtId="169" fontId="11" fillId="0" borderId="0" xfId="0" applyNumberFormat="1" applyFont="1"/>
    <xf numFmtId="14" fontId="6" fillId="0" borderId="0" xfId="0" applyNumberFormat="1" applyFont="1"/>
    <xf numFmtId="171" fontId="6" fillId="0" borderId="0" xfId="0" applyNumberFormat="1" applyFont="1"/>
    <xf numFmtId="14" fontId="6" fillId="0" borderId="0" xfId="0" applyNumberFormat="1" applyFont="1" applyAlignment="1">
      <alignment horizontal="center"/>
    </xf>
    <xf numFmtId="9" fontId="44" fillId="0" borderId="0" xfId="11" applyNumberFormat="1" applyFont="1"/>
    <xf numFmtId="16" fontId="11" fillId="0" borderId="0" xfId="0" applyNumberFormat="1" applyFont="1"/>
    <xf numFmtId="14" fontId="13" fillId="0" borderId="0" xfId="0" applyNumberFormat="1" applyFont="1"/>
    <xf numFmtId="9" fontId="5" fillId="4" borderId="2" xfId="8" applyNumberFormat="1" applyBorder="1" applyAlignment="1" applyProtection="1">
      <alignment horizontal="center" wrapText="1"/>
      <protection locked="0"/>
    </xf>
    <xf numFmtId="9" fontId="5" fillId="4" borderId="0" xfId="8" applyNumberFormat="1" applyBorder="1" applyAlignment="1" applyProtection="1">
      <alignment horizontal="center" wrapText="1"/>
      <protection locked="0"/>
    </xf>
    <xf numFmtId="9" fontId="6" fillId="5" borderId="1" xfId="0" applyNumberFormat="1" applyFont="1" applyFill="1" applyBorder="1" applyAlignment="1">
      <alignment horizontal="right"/>
    </xf>
    <xf numFmtId="8" fontId="15" fillId="0" borderId="0" xfId="0" applyNumberFormat="1" applyFont="1" applyAlignment="1">
      <alignment horizontal="center" wrapText="1"/>
    </xf>
    <xf numFmtId="9" fontId="15" fillId="0" borderId="0" xfId="0" applyNumberFormat="1" applyFont="1" applyAlignment="1">
      <alignment horizontal="center" wrapText="1"/>
    </xf>
    <xf numFmtId="0" fontId="6" fillId="5" borderId="0" xfId="0" applyFont="1" applyFill="1" applyAlignment="1">
      <alignment horizontal="center" wrapText="1"/>
    </xf>
    <xf numFmtId="0" fontId="6" fillId="5" borderId="2" xfId="0" applyFont="1" applyFill="1" applyBorder="1" applyAlignment="1">
      <alignment horizontal="center" wrapText="1"/>
    </xf>
    <xf numFmtId="0" fontId="6" fillId="5" borderId="0" xfId="0" applyFont="1" applyFill="1"/>
    <xf numFmtId="0" fontId="6" fillId="5" borderId="2" xfId="0" applyFont="1" applyFill="1" applyBorder="1"/>
    <xf numFmtId="167" fontId="6" fillId="0" borderId="0" xfId="0" applyNumberFormat="1" applyFont="1" applyAlignment="1">
      <alignment horizontal="center"/>
    </xf>
    <xf numFmtId="3" fontId="6" fillId="5" borderId="0" xfId="0" applyNumberFormat="1" applyFont="1" applyFill="1" applyAlignment="1">
      <alignment horizontal="right"/>
    </xf>
    <xf numFmtId="3" fontId="6" fillId="0" borderId="0" xfId="0" applyNumberFormat="1" applyFont="1" applyAlignment="1">
      <alignment horizontal="right"/>
    </xf>
    <xf numFmtId="3" fontId="6" fillId="5" borderId="2" xfId="0" applyNumberFormat="1" applyFont="1" applyFill="1" applyBorder="1" applyAlignment="1">
      <alignment horizontal="right"/>
    </xf>
    <xf numFmtId="9" fontId="6" fillId="0" borderId="0" xfId="0" applyNumberFormat="1" applyFont="1" applyAlignment="1">
      <alignment horizontal="right"/>
    </xf>
    <xf numFmtId="9" fontId="6" fillId="5" borderId="0" xfId="0" applyNumberFormat="1" applyFont="1" applyFill="1" applyAlignment="1">
      <alignment horizontal="right"/>
    </xf>
    <xf numFmtId="9" fontId="6" fillId="5" borderId="2" xfId="0" applyNumberFormat="1" applyFont="1" applyFill="1" applyBorder="1" applyAlignment="1">
      <alignment horizontal="right"/>
    </xf>
    <xf numFmtId="0" fontId="6" fillId="5" borderId="0" xfId="0" applyFont="1" applyFill="1" applyAlignment="1">
      <alignment horizontal="right"/>
    </xf>
    <xf numFmtId="0" fontId="6" fillId="5" borderId="2" xfId="0" applyFont="1" applyFill="1" applyBorder="1" applyAlignment="1">
      <alignment horizontal="right"/>
    </xf>
    <xf numFmtId="8" fontId="6" fillId="5" borderId="1" xfId="0" applyNumberFormat="1" applyFont="1" applyFill="1" applyBorder="1" applyAlignment="1">
      <alignment horizontal="right"/>
    </xf>
    <xf numFmtId="0" fontId="7" fillId="0" borderId="0" xfId="0" applyFont="1" applyAlignment="1">
      <alignment horizontal="right"/>
    </xf>
    <xf numFmtId="9" fontId="36" fillId="4" borderId="0" xfId="8" applyNumberFormat="1" applyFont="1" applyBorder="1" applyAlignment="1" applyProtection="1">
      <alignment horizontal="center"/>
      <protection locked="0"/>
    </xf>
    <xf numFmtId="9" fontId="36" fillId="4" borderId="2" xfId="8" applyNumberFormat="1" applyFont="1" applyBorder="1" applyAlignment="1" applyProtection="1">
      <alignment horizontal="center"/>
      <protection locked="0"/>
    </xf>
    <xf numFmtId="8" fontId="6" fillId="0" borderId="0" xfId="0" applyNumberFormat="1" applyFont="1" applyAlignment="1">
      <alignment horizontal="center"/>
    </xf>
    <xf numFmtId="8" fontId="6" fillId="5" borderId="0" xfId="0" applyNumberFormat="1" applyFont="1" applyFill="1" applyAlignment="1">
      <alignment horizontal="center"/>
    </xf>
    <xf numFmtId="8" fontId="6" fillId="5" borderId="2" xfId="0" applyNumberFormat="1" applyFont="1" applyFill="1" applyBorder="1" applyAlignment="1">
      <alignment horizontal="center"/>
    </xf>
    <xf numFmtId="3" fontId="36" fillId="0" borderId="0" xfId="0" applyNumberFormat="1" applyFont="1" applyAlignment="1">
      <alignment horizontal="center"/>
    </xf>
    <xf numFmtId="3" fontId="36" fillId="0" borderId="2" xfId="0" applyNumberFormat="1" applyFont="1" applyBorder="1" applyAlignment="1">
      <alignment horizontal="center"/>
    </xf>
    <xf numFmtId="0" fontId="5" fillId="4" borderId="2" xfId="8" applyBorder="1" applyAlignment="1" applyProtection="1">
      <alignment horizontal="center" wrapText="1"/>
      <protection locked="0"/>
    </xf>
    <xf numFmtId="3" fontId="36" fillId="0" borderId="0" xfId="0" applyNumberFormat="1" applyFont="1" applyAlignment="1">
      <alignment horizontal="right"/>
    </xf>
    <xf numFmtId="0" fontId="5" fillId="0" borderId="0" xfId="8" applyFill="1" applyBorder="1" applyAlignment="1" applyProtection="1">
      <alignment horizontal="left"/>
    </xf>
    <xf numFmtId="9" fontId="36" fillId="5" borderId="1" xfId="4" applyFont="1" applyFill="1" applyBorder="1" applyAlignment="1" applyProtection="1">
      <alignment horizontal="center"/>
    </xf>
    <xf numFmtId="0" fontId="6" fillId="0" borderId="13" xfId="0" applyFont="1" applyBorder="1" applyAlignment="1">
      <alignment wrapText="1"/>
    </xf>
    <xf numFmtId="8" fontId="14" fillId="0" borderId="0" xfId="0" applyNumberFormat="1" applyFont="1" applyAlignment="1">
      <alignment horizontal="center" wrapText="1"/>
    </xf>
    <xf numFmtId="8" fontId="6" fillId="5" borderId="1" xfId="0" applyNumberFormat="1" applyFont="1" applyFill="1" applyBorder="1" applyAlignment="1">
      <alignment horizontal="center" wrapText="1"/>
    </xf>
    <xf numFmtId="8" fontId="6" fillId="5" borderId="0" xfId="0" applyNumberFormat="1" applyFont="1" applyFill="1" applyAlignment="1">
      <alignment horizontal="center" wrapText="1"/>
    </xf>
    <xf numFmtId="8" fontId="13" fillId="5" borderId="2" xfId="0" applyNumberFormat="1" applyFont="1" applyFill="1" applyBorder="1" applyAlignment="1">
      <alignment horizontal="center" wrapText="1"/>
    </xf>
    <xf numFmtId="0" fontId="6" fillId="5" borderId="1" xfId="0" applyFont="1" applyFill="1" applyBorder="1" applyAlignment="1">
      <alignment horizontal="center"/>
    </xf>
    <xf numFmtId="0" fontId="6" fillId="5" borderId="0" xfId="0" applyFont="1" applyFill="1" applyAlignment="1">
      <alignment horizontal="center"/>
    </xf>
    <xf numFmtId="0" fontId="6" fillId="0" borderId="0" xfId="0" applyFont="1" applyAlignment="1">
      <alignment horizontal="center"/>
    </xf>
    <xf numFmtId="0" fontId="6" fillId="5" borderId="2" xfId="0" applyFont="1" applyFill="1" applyBorder="1" applyAlignment="1">
      <alignment horizontal="center"/>
    </xf>
    <xf numFmtId="165" fontId="6" fillId="5" borderId="0" xfId="1" applyNumberFormat="1" applyFont="1" applyFill="1" applyBorder="1" applyAlignment="1" applyProtection="1">
      <alignment horizontal="center"/>
    </xf>
    <xf numFmtId="3" fontId="6" fillId="0" borderId="0" xfId="0" applyNumberFormat="1" applyFont="1" applyAlignment="1">
      <alignment horizontal="center"/>
    </xf>
    <xf numFmtId="3" fontId="6" fillId="5" borderId="2" xfId="0" applyNumberFormat="1" applyFont="1" applyFill="1" applyBorder="1" applyAlignment="1">
      <alignment horizontal="center"/>
    </xf>
    <xf numFmtId="171" fontId="6" fillId="5" borderId="0" xfId="0" applyNumberFormat="1" applyFont="1" applyFill="1" applyAlignment="1">
      <alignment horizontal="center"/>
    </xf>
    <xf numFmtId="171" fontId="6" fillId="5" borderId="2" xfId="0" applyNumberFormat="1" applyFont="1" applyFill="1" applyBorder="1" applyAlignment="1">
      <alignment horizontal="center"/>
    </xf>
    <xf numFmtId="16" fontId="6" fillId="0" borderId="0" xfId="0" quotePrefix="1" applyNumberFormat="1" applyFont="1"/>
    <xf numFmtId="1" fontId="0" fillId="0" borderId="0" xfId="0" applyNumberFormat="1" applyAlignment="1">
      <alignment horizontal="center"/>
    </xf>
    <xf numFmtId="0" fontId="15" fillId="0" borderId="0" xfId="0" applyFont="1" applyAlignment="1">
      <alignment horizontal="center"/>
    </xf>
    <xf numFmtId="0" fontId="11" fillId="0" borderId="0" xfId="0" applyFont="1" applyAlignment="1">
      <alignment horizontal="center"/>
    </xf>
    <xf numFmtId="14" fontId="11" fillId="0" borderId="0" xfId="0" applyNumberFormat="1" applyFont="1" applyAlignment="1">
      <alignment horizontal="center"/>
    </xf>
    <xf numFmtId="8" fontId="5" fillId="0" borderId="0" xfId="8" applyNumberFormat="1" applyFill="1" applyBorder="1" applyAlignment="1" applyProtection="1">
      <alignment horizontal="center" vertical="top"/>
      <protection locked="0"/>
    </xf>
    <xf numFmtId="4" fontId="6" fillId="0" borderId="0" xfId="0" applyNumberFormat="1" applyFont="1"/>
    <xf numFmtId="8" fontId="6" fillId="5" borderId="2" xfId="0" applyNumberFormat="1" applyFont="1" applyFill="1" applyBorder="1" applyAlignment="1">
      <alignment horizontal="center" wrapText="1"/>
    </xf>
    <xf numFmtId="165" fontId="6" fillId="5" borderId="2" xfId="1" applyNumberFormat="1" applyFont="1" applyFill="1" applyBorder="1" applyAlignment="1" applyProtection="1">
      <alignment horizontal="center"/>
    </xf>
    <xf numFmtId="9" fontId="6" fillId="5" borderId="2" xfId="0" applyNumberFormat="1" applyFont="1" applyFill="1" applyBorder="1" applyAlignment="1">
      <alignment horizontal="center"/>
    </xf>
    <xf numFmtId="8" fontId="5" fillId="4" borderId="6" xfId="8" applyNumberFormat="1" applyBorder="1" applyAlignment="1" applyProtection="1">
      <alignment horizontal="right"/>
      <protection locked="0"/>
    </xf>
    <xf numFmtId="8" fontId="5" fillId="0" borderId="6" xfId="8" applyNumberFormat="1" applyFill="1" applyBorder="1" applyAlignment="1" applyProtection="1">
      <alignment horizontal="right"/>
    </xf>
    <xf numFmtId="8" fontId="5" fillId="4" borderId="2" xfId="8" applyNumberFormat="1" applyBorder="1" applyAlignment="1" applyProtection="1">
      <alignment horizontal="right"/>
      <protection locked="0"/>
    </xf>
    <xf numFmtId="8" fontId="17" fillId="5" borderId="2" xfId="1" applyNumberFormat="1" applyFont="1" applyFill="1" applyBorder="1" applyProtection="1"/>
    <xf numFmtId="0" fontId="35" fillId="0" borderId="2" xfId="0" applyFont="1" applyBorder="1"/>
    <xf numFmtId="0" fontId="7" fillId="0" borderId="2" xfId="0" applyFont="1" applyBorder="1" applyAlignment="1">
      <alignment horizontal="center"/>
    </xf>
    <xf numFmtId="8" fontId="32" fillId="0" borderId="21" xfId="7" applyNumberFormat="1" applyBorder="1" applyProtection="1"/>
    <xf numFmtId="0" fontId="32" fillId="0" borderId="21" xfId="7" applyBorder="1" applyProtection="1"/>
    <xf numFmtId="8" fontId="32" fillId="0" borderId="41" xfId="7" applyNumberFormat="1" applyBorder="1" applyProtection="1"/>
    <xf numFmtId="0" fontId="32" fillId="0" borderId="20" xfId="7" applyBorder="1" applyProtection="1"/>
    <xf numFmtId="8" fontId="32" fillId="0" borderId="42" xfId="7" applyNumberFormat="1" applyBorder="1" applyProtection="1"/>
    <xf numFmtId="0" fontId="3" fillId="9" borderId="0" xfId="8" applyFont="1" applyFill="1" applyBorder="1" applyAlignment="1" applyProtection="1">
      <alignment horizontal="left"/>
    </xf>
    <xf numFmtId="0" fontId="8" fillId="9" borderId="0" xfId="0" applyFont="1" applyFill="1"/>
    <xf numFmtId="0" fontId="6" fillId="9" borderId="0" xfId="0" applyFont="1" applyFill="1"/>
    <xf numFmtId="0" fontId="5" fillId="4" borderId="12" xfId="8" applyBorder="1" applyAlignment="1" applyProtection="1">
      <alignment horizontal="center"/>
      <protection locked="0"/>
    </xf>
    <xf numFmtId="0" fontId="13" fillId="0" borderId="0" xfId="0" applyFont="1" applyAlignment="1">
      <alignment horizontal="center"/>
    </xf>
    <xf numFmtId="8" fontId="13" fillId="0" borderId="0" xfId="0" applyNumberFormat="1" applyFont="1" applyAlignment="1">
      <alignment horizontal="center"/>
    </xf>
    <xf numFmtId="0" fontId="5" fillId="0" borderId="15" xfId="8" applyFill="1" applyBorder="1" applyAlignment="1" applyProtection="1">
      <alignment horizontal="center"/>
    </xf>
    <xf numFmtId="8" fontId="5" fillId="0" borderId="6" xfId="8" applyNumberFormat="1" applyFill="1" applyBorder="1" applyAlignment="1" applyProtection="1">
      <alignment horizontal="center" vertical="top"/>
    </xf>
    <xf numFmtId="43" fontId="13" fillId="0" borderId="0" xfId="1" applyFont="1" applyFill="1" applyBorder="1" applyAlignment="1" applyProtection="1">
      <alignment horizontal="center"/>
    </xf>
    <xf numFmtId="8" fontId="5" fillId="4" borderId="16" xfId="8" applyNumberFormat="1" applyBorder="1" applyAlignment="1" applyProtection="1">
      <alignment horizontal="center"/>
      <protection locked="0"/>
    </xf>
    <xf numFmtId="8" fontId="5" fillId="4" borderId="17" xfId="8" applyNumberFormat="1" applyBorder="1" applyAlignment="1" applyProtection="1">
      <alignment horizontal="center"/>
      <protection locked="0"/>
    </xf>
    <xf numFmtId="4" fontId="5" fillId="4" borderId="12" xfId="8" applyNumberFormat="1" applyBorder="1" applyAlignment="1" applyProtection="1">
      <alignment horizontal="center"/>
      <protection locked="0"/>
    </xf>
    <xf numFmtId="4" fontId="13" fillId="0" borderId="0" xfId="1" applyNumberFormat="1" applyFont="1" applyFill="1" applyBorder="1" applyAlignment="1" applyProtection="1">
      <alignment horizontal="center"/>
    </xf>
    <xf numFmtId="4" fontId="5" fillId="4" borderId="13" xfId="8" applyNumberFormat="1" applyBorder="1" applyAlignment="1" applyProtection="1">
      <alignment horizontal="center"/>
      <protection locked="0"/>
    </xf>
    <xf numFmtId="4" fontId="13" fillId="0" borderId="0" xfId="0" applyNumberFormat="1" applyFont="1" applyAlignment="1">
      <alignment horizontal="center"/>
    </xf>
    <xf numFmtId="4" fontId="5" fillId="4" borderId="6" xfId="8" applyNumberFormat="1" applyBorder="1" applyAlignment="1" applyProtection="1">
      <alignment horizontal="center" vertical="top"/>
      <protection locked="0"/>
    </xf>
    <xf numFmtId="4" fontId="13" fillId="0" borderId="0" xfId="2" applyNumberFormat="1" applyFont="1" applyFill="1" applyBorder="1" applyAlignment="1" applyProtection="1">
      <alignment horizontal="center"/>
    </xf>
    <xf numFmtId="44" fontId="5" fillId="0" borderId="12" xfId="8" applyNumberFormat="1" applyFill="1" applyBorder="1" applyAlignment="1" applyProtection="1">
      <alignment horizontal="center"/>
    </xf>
    <xf numFmtId="44" fontId="13" fillId="0" borderId="0" xfId="2" applyFont="1" applyFill="1" applyBorder="1" applyAlignment="1" applyProtection="1">
      <alignment horizontal="center"/>
    </xf>
    <xf numFmtId="8" fontId="5" fillId="0" borderId="13" xfId="8" applyNumberFormat="1" applyFill="1" applyBorder="1" applyAlignment="1" applyProtection="1">
      <alignment horizontal="center"/>
    </xf>
    <xf numFmtId="4" fontId="15" fillId="5" borderId="1" xfId="0" applyNumberFormat="1" applyFont="1" applyFill="1" applyBorder="1" applyAlignment="1">
      <alignment horizontal="center"/>
    </xf>
    <xf numFmtId="4" fontId="15" fillId="0" borderId="0" xfId="0" applyNumberFormat="1" applyFont="1" applyAlignment="1">
      <alignment horizontal="center"/>
    </xf>
    <xf numFmtId="4" fontId="5" fillId="4" borderId="1" xfId="8" applyNumberFormat="1" applyBorder="1" applyAlignment="1" applyProtection="1">
      <alignment horizontal="center" vertical="top"/>
      <protection locked="0"/>
    </xf>
    <xf numFmtId="4" fontId="6" fillId="0" borderId="0" xfId="1" applyNumberFormat="1" applyFont="1" applyFill="1" applyBorder="1" applyAlignment="1" applyProtection="1">
      <alignment horizontal="center" vertical="top"/>
    </xf>
    <xf numFmtId="4" fontId="5" fillId="4" borderId="0" xfId="8" applyNumberFormat="1" applyBorder="1" applyAlignment="1" applyProtection="1">
      <alignment horizontal="center"/>
      <protection locked="0"/>
    </xf>
    <xf numFmtId="4" fontId="5" fillId="4" borderId="2" xfId="8" applyNumberFormat="1" applyBorder="1" applyAlignment="1" applyProtection="1">
      <alignment horizontal="center" vertical="top"/>
      <protection locked="0"/>
    </xf>
    <xf numFmtId="8" fontId="32" fillId="5" borderId="20" xfId="7" applyNumberFormat="1" applyFill="1" applyBorder="1" applyAlignment="1" applyProtection="1">
      <alignment horizontal="center"/>
    </xf>
    <xf numFmtId="8" fontId="32" fillId="0" borderId="0" xfId="7" applyNumberFormat="1" applyFill="1" applyBorder="1" applyAlignment="1" applyProtection="1">
      <alignment horizontal="center"/>
    </xf>
    <xf numFmtId="8" fontId="32" fillId="5" borderId="11" xfId="7" applyNumberFormat="1" applyFill="1" applyAlignment="1" applyProtection="1">
      <alignment horizontal="center"/>
    </xf>
    <xf numFmtId="8" fontId="32" fillId="5" borderId="21" xfId="7" applyNumberFormat="1" applyFill="1" applyBorder="1" applyAlignment="1" applyProtection="1">
      <alignment horizontal="center"/>
    </xf>
    <xf numFmtId="4" fontId="36" fillId="5" borderId="0" xfId="0" applyNumberFormat="1" applyFont="1" applyFill="1" applyAlignment="1">
      <alignment horizontal="center"/>
    </xf>
    <xf numFmtId="4" fontId="36" fillId="0" borderId="0" xfId="0" applyNumberFormat="1" applyFont="1" applyAlignment="1">
      <alignment horizontal="center"/>
    </xf>
    <xf numFmtId="4" fontId="36" fillId="5" borderId="2" xfId="0" applyNumberFormat="1" applyFont="1" applyFill="1" applyBorder="1" applyAlignment="1">
      <alignment horizontal="center"/>
    </xf>
    <xf numFmtId="0" fontId="13" fillId="0" borderId="2" xfId="0" applyFont="1" applyBorder="1" applyAlignment="1">
      <alignment horizontal="center"/>
    </xf>
    <xf numFmtId="4" fontId="5" fillId="4" borderId="6" xfId="8" applyNumberFormat="1" applyBorder="1" applyAlignment="1" applyProtection="1">
      <alignment horizontal="center"/>
      <protection locked="0"/>
    </xf>
    <xf numFmtId="8" fontId="5" fillId="0" borderId="6" xfId="8" applyNumberFormat="1" applyFill="1" applyBorder="1" applyAlignment="1" applyProtection="1">
      <alignment horizontal="center"/>
    </xf>
    <xf numFmtId="4" fontId="5" fillId="4" borderId="2" xfId="8" applyNumberFormat="1" applyBorder="1" applyAlignment="1" applyProtection="1">
      <alignment horizontal="center"/>
      <protection locked="0"/>
    </xf>
    <xf numFmtId="1" fontId="6" fillId="5" borderId="1" xfId="0" applyNumberFormat="1" applyFont="1" applyFill="1" applyBorder="1" applyAlignment="1">
      <alignment horizontal="center"/>
    </xf>
    <xf numFmtId="0" fontId="5" fillId="9" borderId="12" xfId="8" applyFill="1" applyBorder="1" applyAlignment="1" applyProtection="1">
      <alignment horizontal="center"/>
      <protection locked="0"/>
    </xf>
    <xf numFmtId="8" fontId="5" fillId="9" borderId="6" xfId="8" applyNumberFormat="1" applyFill="1" applyBorder="1" applyAlignment="1" applyProtection="1">
      <alignment horizontal="center"/>
      <protection locked="0"/>
    </xf>
    <xf numFmtId="8" fontId="5" fillId="9" borderId="6" xfId="8" applyNumberFormat="1" applyFill="1" applyBorder="1" applyAlignment="1" applyProtection="1">
      <alignment horizontal="center" vertical="top"/>
      <protection locked="0"/>
    </xf>
    <xf numFmtId="0" fontId="5" fillId="0" borderId="12" xfId="8" applyFill="1" applyBorder="1" applyAlignment="1" applyProtection="1">
      <alignment horizontal="center"/>
    </xf>
    <xf numFmtId="0" fontId="5" fillId="4" borderId="12" xfId="8" applyBorder="1" applyAlignment="1" applyProtection="1">
      <alignment horizontal="right"/>
    </xf>
    <xf numFmtId="8" fontId="5" fillId="4" borderId="6" xfId="8" applyNumberFormat="1" applyBorder="1" applyAlignment="1" applyProtection="1">
      <alignment horizontal="right"/>
    </xf>
    <xf numFmtId="0" fontId="13" fillId="0" borderId="6" xfId="0" applyFont="1" applyBorder="1"/>
    <xf numFmtId="0" fontId="5" fillId="0" borderId="12" xfId="8" applyFill="1" applyBorder="1" applyAlignment="1" applyProtection="1">
      <alignment horizontal="right"/>
    </xf>
    <xf numFmtId="16" fontId="4" fillId="0" borderId="0" xfId="9" applyNumberFormat="1"/>
    <xf numFmtId="14" fontId="4" fillId="0" borderId="0" xfId="9" applyNumberFormat="1"/>
    <xf numFmtId="0" fontId="45" fillId="0" borderId="0" xfId="0" applyFont="1" applyAlignment="1">
      <alignment horizontal="center" vertical="center" wrapText="1"/>
    </xf>
    <xf numFmtId="0" fontId="43" fillId="7" borderId="5" xfId="0" applyFont="1" applyFill="1" applyBorder="1" applyAlignment="1">
      <alignment horizontal="center" vertical="top" wrapText="1"/>
    </xf>
    <xf numFmtId="0" fontId="43" fillId="7" borderId="0" xfId="0" applyFont="1" applyFill="1" applyAlignment="1">
      <alignment horizontal="center" vertical="top" wrapText="1"/>
    </xf>
    <xf numFmtId="0" fontId="41" fillId="7" borderId="0" xfId="0" applyFont="1" applyFill="1" applyAlignment="1">
      <alignment horizontal="left"/>
    </xf>
    <xf numFmtId="0" fontId="0" fillId="7" borderId="0" xfId="0" applyFill="1" applyAlignment="1">
      <alignment horizontal="left" wrapText="1"/>
    </xf>
    <xf numFmtId="0" fontId="6" fillId="0" borderId="0" xfId="0" applyFont="1" applyAlignment="1">
      <alignment horizontal="left" wrapText="1"/>
    </xf>
    <xf numFmtId="0" fontId="14" fillId="0" borderId="0" xfId="0" applyFont="1" applyAlignment="1">
      <alignment horizontal="left"/>
    </xf>
    <xf numFmtId="0" fontId="0" fillId="7" borderId="36" xfId="0" applyFill="1" applyBorder="1" applyAlignment="1">
      <alignment horizontal="center"/>
    </xf>
    <xf numFmtId="0" fontId="0" fillId="7" borderId="9" xfId="0" applyFill="1" applyBorder="1" applyAlignment="1">
      <alignment horizontal="center"/>
    </xf>
    <xf numFmtId="0" fontId="24" fillId="7" borderId="0" xfId="0" applyFont="1" applyFill="1" applyAlignment="1">
      <alignment horizontal="right"/>
    </xf>
    <xf numFmtId="0" fontId="6" fillId="7" borderId="0" xfId="0" applyFont="1" applyFill="1" applyAlignment="1">
      <alignment horizontal="left" vertical="top" wrapText="1"/>
    </xf>
    <xf numFmtId="0" fontId="20" fillId="0" borderId="0" xfId="0" applyFont="1" applyAlignment="1">
      <alignment horizontal="left" wrapText="1"/>
    </xf>
    <xf numFmtId="0" fontId="6" fillId="0" borderId="0" xfId="0" applyFont="1" applyAlignment="1">
      <alignment horizontal="left" vertical="top" wrapText="1"/>
    </xf>
    <xf numFmtId="0" fontId="0" fillId="0" borderId="0" xfId="0" applyAlignment="1">
      <alignment horizontal="left" vertical="top" wrapText="1"/>
    </xf>
    <xf numFmtId="3" fontId="36" fillId="5" borderId="0" xfId="0" applyNumberFormat="1" applyFont="1" applyFill="1" applyAlignment="1">
      <alignment horizontal="center" vertical="center" wrapText="1"/>
    </xf>
    <xf numFmtId="3" fontId="36" fillId="5" borderId="2" xfId="0" applyNumberFormat="1" applyFont="1" applyFill="1" applyBorder="1" applyAlignment="1">
      <alignment horizontal="center" vertical="center" wrapText="1"/>
    </xf>
    <xf numFmtId="0" fontId="13" fillId="0" borderId="1" xfId="0" applyFont="1" applyBorder="1" applyAlignment="1">
      <alignment horizontal="left"/>
    </xf>
    <xf numFmtId="0" fontId="13" fillId="0" borderId="0" xfId="0" applyFont="1" applyAlignment="1">
      <alignment horizontal="left"/>
    </xf>
    <xf numFmtId="0" fontId="13" fillId="0" borderId="2" xfId="0" applyFont="1" applyBorder="1" applyAlignment="1">
      <alignment horizontal="left"/>
    </xf>
    <xf numFmtId="14" fontId="6" fillId="0" borderId="0" xfId="0" applyNumberFormat="1" applyFont="1" applyAlignment="1">
      <alignment horizontal="left"/>
    </xf>
    <xf numFmtId="0" fontId="30" fillId="0" borderId="19" xfId="5" applyBorder="1" applyAlignment="1" applyProtection="1">
      <alignment horizontal="left"/>
    </xf>
    <xf numFmtId="0" fontId="30" fillId="0" borderId="10" xfId="5" applyAlignment="1" applyProtection="1">
      <alignment horizontal="left"/>
    </xf>
    <xf numFmtId="0" fontId="5" fillId="4" borderId="0" xfId="8" applyBorder="1" applyAlignment="1" applyProtection="1">
      <alignment horizontal="center" wrapText="1"/>
      <protection locked="0"/>
    </xf>
    <xf numFmtId="0" fontId="36" fillId="5" borderId="1" xfId="0" applyFont="1" applyFill="1" applyBorder="1" applyAlignment="1">
      <alignment horizontal="center" vertical="center" wrapText="1"/>
    </xf>
    <xf numFmtId="16" fontId="2" fillId="4" borderId="0" xfId="8" applyNumberFormat="1" applyFont="1" applyBorder="1" applyAlignment="1" applyProtection="1">
      <alignment horizontal="left"/>
      <protection locked="0"/>
    </xf>
    <xf numFmtId="16" fontId="5" fillId="4" borderId="0" xfId="8" applyNumberFormat="1" applyBorder="1" applyAlignment="1" applyProtection="1">
      <alignment horizontal="left"/>
      <protection locked="0"/>
    </xf>
    <xf numFmtId="0" fontId="24" fillId="0" borderId="7" xfId="0" applyFont="1" applyBorder="1" applyAlignment="1">
      <alignment horizontal="center"/>
    </xf>
    <xf numFmtId="0" fontId="24" fillId="0" borderId="8" xfId="0" applyFont="1" applyBorder="1" applyAlignment="1">
      <alignment horizontal="center"/>
    </xf>
    <xf numFmtId="0" fontId="24" fillId="0" borderId="9" xfId="0" applyFont="1" applyBorder="1" applyAlignment="1">
      <alignment horizontal="center"/>
    </xf>
    <xf numFmtId="0" fontId="6" fillId="5" borderId="15" xfId="0" applyFont="1" applyFill="1" applyBorder="1" applyAlignment="1">
      <alignment horizontal="center" wrapText="1"/>
    </xf>
    <xf numFmtId="0" fontId="6" fillId="5" borderId="1" xfId="0" applyFont="1" applyFill="1" applyBorder="1" applyAlignment="1">
      <alignment horizontal="center" wrapText="1"/>
    </xf>
    <xf numFmtId="0" fontId="14" fillId="5" borderId="16" xfId="0" applyFont="1" applyFill="1" applyBorder="1" applyAlignment="1">
      <alignment horizontal="center" wrapText="1"/>
    </xf>
    <xf numFmtId="0" fontId="14" fillId="5" borderId="0" xfId="0" applyFont="1" applyFill="1" applyAlignment="1">
      <alignment horizontal="center" wrapText="1"/>
    </xf>
    <xf numFmtId="0" fontId="13" fillId="5" borderId="17" xfId="0" applyFont="1" applyFill="1" applyBorder="1" applyAlignment="1">
      <alignment horizontal="center" wrapText="1"/>
    </xf>
    <xf numFmtId="0" fontId="13" fillId="5" borderId="2" xfId="0" applyFont="1" applyFill="1" applyBorder="1" applyAlignment="1">
      <alignment horizontal="center" wrapText="1"/>
    </xf>
    <xf numFmtId="0" fontId="14" fillId="5" borderId="17" xfId="0" applyFont="1" applyFill="1" applyBorder="1" applyAlignment="1">
      <alignment horizontal="center" wrapText="1"/>
    </xf>
    <xf numFmtId="0" fontId="14" fillId="5" borderId="2" xfId="0" applyFont="1" applyFill="1" applyBorder="1" applyAlignment="1">
      <alignment horizontal="center" wrapText="1"/>
    </xf>
    <xf numFmtId="0" fontId="5" fillId="4" borderId="2" xfId="8" applyBorder="1" applyAlignment="1" applyProtection="1">
      <alignment horizontal="center" wrapText="1"/>
      <protection locked="0"/>
    </xf>
    <xf numFmtId="0" fontId="1" fillId="4" borderId="2" xfId="8" applyFont="1" applyBorder="1" applyAlignment="1" applyProtection="1">
      <alignment horizontal="center" wrapText="1"/>
      <protection locked="0"/>
    </xf>
  </cellXfs>
  <cellStyles count="12">
    <cellStyle name="20% - Accent1" xfId="8" builtinId="30"/>
    <cellStyle name="Comma" xfId="1" builtinId="3"/>
    <cellStyle name="Currency" xfId="2" builtinId="4"/>
    <cellStyle name="Heading 2" xfId="5" builtinId="17"/>
    <cellStyle name="Heading 4" xfId="6" builtinId="19"/>
    <cellStyle name="Hyperlink" xfId="3" builtinId="8"/>
    <cellStyle name="Normal" xfId="0" builtinId="0"/>
    <cellStyle name="Normal 2" xfId="9" xr:uid="{00000000-0005-0000-0000-000007000000}"/>
    <cellStyle name="Normal 2 2" xfId="11" xr:uid="{00000000-0005-0000-0000-000008000000}"/>
    <cellStyle name="Normal 3" xfId="10" xr:uid="{00000000-0005-0000-0000-000009000000}"/>
    <cellStyle name="Percent" xfId="4" builtinId="5"/>
    <cellStyle name="Total" xfId="7" builtinId="25"/>
  </cellStyles>
  <dxfs count="56">
    <dxf>
      <numFmt numFmtId="19" formatCode="m/d/yyyy"/>
    </dxf>
    <dxf>
      <numFmt numFmtId="166" formatCode="m/d;@"/>
    </dxf>
    <dxf>
      <numFmt numFmtId="19" formatCode="m/d/yyyy"/>
    </dxf>
    <dxf>
      <font>
        <b val="0"/>
        <i val="0"/>
        <strike val="0"/>
        <condense val="0"/>
        <extend val="0"/>
        <outline val="0"/>
        <shadow val="0"/>
        <u val="none"/>
        <vertAlign val="baseline"/>
        <sz val="10"/>
        <color auto="1"/>
        <name val="Arial"/>
        <family val="2"/>
        <scheme val="none"/>
      </font>
      <numFmt numFmtId="30" formatCode="@"/>
    </dxf>
    <dxf>
      <font>
        <b/>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protection locked="1" hidden="0"/>
    </dxf>
    <dxf>
      <font>
        <b val="0"/>
        <i val="0"/>
        <strike val="0"/>
        <condense val="0"/>
        <extend val="0"/>
        <outline val="0"/>
        <shadow val="0"/>
        <u val="none"/>
        <vertAlign val="baseline"/>
        <sz val="11"/>
        <color auto="1"/>
        <name val="Arial"/>
        <family val="2"/>
        <scheme val="none"/>
      </font>
      <numFmt numFmtId="19" formatCode="m/d/yyyy"/>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9" formatCode="m/d/yyyy"/>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protection locked="1" hidden="0"/>
    </dxf>
    <dxf>
      <font>
        <color theme="0"/>
      </font>
      <fill>
        <patternFill patternType="none">
          <bgColor auto="1"/>
        </patternFill>
      </fill>
    </dxf>
    <dxf>
      <font>
        <strike val="0"/>
        <color rgb="FFF2F2F2"/>
      </font>
    </dxf>
    <dxf>
      <numFmt numFmtId="35" formatCode="_(* #,##0.00_);_(* \(#,##0.00\);_(* &quot;-&quot;??_);_(@_)"/>
    </dxf>
    <dxf>
      <font>
        <strike val="0"/>
        <color rgb="FFF2F2F2"/>
      </font>
    </dxf>
    <dxf>
      <font>
        <strike val="0"/>
        <color rgb="FFF2F2F2"/>
      </font>
    </dxf>
    <dxf>
      <numFmt numFmtId="35" formatCode="_(* #,##0.00_);_(* \(#,##0.00\);_(* &quot;-&quot;??_);_(@_)"/>
    </dxf>
    <dxf>
      <numFmt numFmtId="35" formatCode="_(* #,##0.00_);_(* \(#,##0.00\);_(* &quot;-&quot;??_);_(@_)"/>
    </dxf>
    <dxf>
      <font>
        <b val="0"/>
        <i val="0"/>
        <strike val="0"/>
        <condense val="0"/>
        <extend val="0"/>
        <outline val="0"/>
        <shadow val="0"/>
        <u val="none"/>
        <vertAlign val="baseline"/>
        <sz val="11"/>
        <color auto="1"/>
        <name val="Arial"/>
        <family val="2"/>
        <scheme val="none"/>
      </font>
      <protection locked="1" hidden="0"/>
    </dxf>
    <dxf>
      <font>
        <b val="0"/>
        <i val="0"/>
        <strike val="0"/>
        <condense val="0"/>
        <extend val="0"/>
        <outline val="0"/>
        <shadow val="0"/>
        <u val="none"/>
        <vertAlign val="baseline"/>
        <sz val="11"/>
        <color auto="1"/>
        <name val="Arial"/>
        <family val="2"/>
        <scheme val="none"/>
      </font>
      <numFmt numFmtId="19" formatCode="m/d/yyyy"/>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9" formatCode="m/d/yyyy"/>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protection locked="1" hidden="0"/>
    </dxf>
    <dxf>
      <font>
        <color theme="0"/>
      </font>
      <fill>
        <patternFill patternType="none">
          <bgColor auto="1"/>
        </patternFill>
      </fill>
    </dxf>
    <dxf>
      <font>
        <strike val="0"/>
        <color rgb="FFF2F2F2"/>
      </font>
    </dxf>
    <dxf>
      <numFmt numFmtId="35" formatCode="_(* #,##0.00_);_(* \(#,##0.00\);_(* &quot;-&quot;??_);_(@_)"/>
    </dxf>
    <dxf>
      <font>
        <strike val="0"/>
        <color rgb="FFF2F2F2"/>
      </font>
    </dxf>
    <dxf>
      <font>
        <strike val="0"/>
        <color rgb="FFF2F2F2"/>
      </font>
    </dxf>
    <dxf>
      <font>
        <color theme="0"/>
      </font>
      <fill>
        <patternFill patternType="none">
          <bgColor auto="1"/>
        </patternFill>
      </fill>
    </dxf>
    <dxf>
      <font>
        <strike val="0"/>
        <color rgb="FFF2F2F2"/>
      </font>
    </dxf>
    <dxf>
      <font>
        <strike val="0"/>
        <color rgb="FFF2F2F2"/>
      </font>
    </dxf>
    <dxf>
      <numFmt numFmtId="35" formatCode="_(* #,##0.00_);_(* \(#,##0.00\);_(* &quot;-&quot;??_);_(@_)"/>
    </dxf>
    <dxf>
      <numFmt numFmtId="35" formatCode="_(* #,##0.00_);_(* \(#,##0.00\);_(* &quot;-&quot;??_);_(@_)"/>
    </dxf>
    <dxf>
      <font>
        <b val="0"/>
        <i val="0"/>
        <strike val="0"/>
        <condense val="0"/>
        <extend val="0"/>
        <outline val="0"/>
        <shadow val="0"/>
        <u val="none"/>
        <vertAlign val="baseline"/>
        <sz val="11"/>
        <color auto="1"/>
        <name val="Arial"/>
        <family val="2"/>
        <scheme val="none"/>
      </font>
      <protection locked="1" hidden="0"/>
    </dxf>
    <dxf>
      <font>
        <b val="0"/>
        <i val="0"/>
        <strike val="0"/>
        <condense val="0"/>
        <extend val="0"/>
        <outline val="0"/>
        <shadow val="0"/>
        <u val="none"/>
        <vertAlign val="baseline"/>
        <sz val="11"/>
        <color auto="1"/>
        <name val="Arial"/>
        <family val="2"/>
        <scheme val="none"/>
      </font>
      <numFmt numFmtId="19" formatCode="m/d/yyyy"/>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9" formatCode="m/d/yyyy"/>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protection locked="1" hidden="0"/>
    </dxf>
    <dxf>
      <numFmt numFmtId="35" formatCode="_(* #,##0.00_);_(* \(#,##0.00\);_(* &quot;-&quot;??_);_(@_)"/>
    </dxf>
    <dxf>
      <font>
        <color theme="0"/>
      </font>
      <fill>
        <patternFill patternType="none">
          <bgColor auto="1"/>
        </patternFill>
      </fill>
    </dxf>
    <dxf>
      <font>
        <strike val="0"/>
        <color rgb="FFF2F2F2"/>
      </font>
    </dxf>
    <dxf>
      <font>
        <strike val="0"/>
        <color rgb="FFF2F2F2"/>
      </font>
    </dxf>
    <dxf>
      <numFmt numFmtId="35" formatCode="_(* #,##0.00_);_(* \(#,##0.00\);_(* &quot;-&quot;??_);_(@_)"/>
    </dxf>
    <dxf>
      <numFmt numFmtId="35" formatCode="_(* #,##0.00_);_(* \(#,##0.00\);_(* &quot;-&quot;??_);_(@_)"/>
    </dxf>
    <dxf>
      <font>
        <b val="0"/>
        <i val="0"/>
        <strike val="0"/>
        <condense val="0"/>
        <extend val="0"/>
        <outline val="0"/>
        <shadow val="0"/>
        <u val="none"/>
        <vertAlign val="baseline"/>
        <sz val="11"/>
        <color auto="1"/>
        <name val="Arial"/>
        <family val="2"/>
        <scheme val="none"/>
      </font>
      <protection locked="1" hidden="0"/>
    </dxf>
    <dxf>
      <font>
        <b val="0"/>
        <i val="0"/>
        <strike val="0"/>
        <condense val="0"/>
        <extend val="0"/>
        <outline val="0"/>
        <shadow val="0"/>
        <u val="none"/>
        <vertAlign val="baseline"/>
        <sz val="11"/>
        <color auto="1"/>
        <name val="Arial"/>
        <family val="2"/>
        <scheme val="none"/>
      </font>
      <numFmt numFmtId="19" formatCode="m/d/yyyy"/>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9" formatCode="m/d/yyyy"/>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protection locked="1" hidden="0"/>
    </dxf>
    <dxf>
      <font>
        <color theme="0"/>
      </font>
      <fill>
        <patternFill patternType="none">
          <bgColor auto="1"/>
        </patternFill>
      </fill>
    </dxf>
    <dxf>
      <font>
        <strike val="0"/>
        <color rgb="FFF2F2F2"/>
      </font>
    </dxf>
    <dxf>
      <font>
        <strike val="0"/>
        <color rgb="FFF2F2F2"/>
      </font>
    </dxf>
    <dxf>
      <numFmt numFmtId="35" formatCode="_(* #,##0.00_);_(* \(#,##0.00\);_(* &quot;-&quot;??_);_(@_)"/>
    </dxf>
    <dxf>
      <numFmt numFmtId="35" formatCode="_(* #,##0.00_);_(* \(#,##0.00\);_(* &quot;-&quot;??_);_(@_)"/>
    </dxf>
    <dxf>
      <font>
        <strike val="0"/>
        <color rgb="FFF2F2F2"/>
      </font>
    </dxf>
    <dxf>
      <font>
        <strike val="0"/>
        <color rgb="FFF2F2F2"/>
      </font>
    </dxf>
    <dxf>
      <font>
        <color theme="0"/>
      </font>
      <fill>
        <patternFill patternType="none">
          <bgColor auto="1"/>
        </patternFill>
      </fill>
    </dxf>
    <dxf>
      <font>
        <strike val="0"/>
        <color rgb="FFF2F2F2"/>
      </font>
    </dxf>
    <dxf>
      <font>
        <strike val="0"/>
        <color rgb="FFF2F2F2"/>
      </font>
    </dxf>
    <dxf>
      <numFmt numFmtId="35" formatCode="_(* #,##0.00_);_(* \(#,##0.00\);_(* &quot;-&quot;??_);_(@_)"/>
    </dxf>
    <dxf>
      <numFmt numFmtId="35" formatCode="_(* #,##0.00_);_(* \(#,##0.00\);_(* &quot;-&quot;??_);_(@_)"/>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CCCC99"/>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990000"/>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9900"/>
      <color rgb="FFB9A45A"/>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19050</xdr:colOff>
      <xdr:row>5</xdr:row>
      <xdr:rowOff>85725</xdr:rowOff>
    </xdr:from>
    <xdr:to>
      <xdr:col>4</xdr:col>
      <xdr:colOff>542925</xdr:colOff>
      <xdr:row>8</xdr:row>
      <xdr:rowOff>135031</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47650" y="1047750"/>
          <a:ext cx="1743075" cy="5350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latin typeface="+mn-lt"/>
              <a:cs typeface="Times New Roman" pitchFamily="18" charset="0"/>
            </a:rPr>
            <a:t>Developed By:</a:t>
          </a:r>
        </a:p>
        <a:p>
          <a:r>
            <a:rPr lang="en-US" sz="1400">
              <a:latin typeface="+mn-lt"/>
              <a:cs typeface="Times New Roman" pitchFamily="18" charset="0"/>
            </a:rPr>
            <a:t>Dr. Raymond Massey</a:t>
          </a:r>
        </a:p>
      </xdr:txBody>
    </xdr:sp>
    <xdr:clientData/>
  </xdr:twoCellAnchor>
  <xdr:twoCellAnchor editAs="oneCell">
    <xdr:from>
      <xdr:col>2</xdr:col>
      <xdr:colOff>241789</xdr:colOff>
      <xdr:row>1</xdr:row>
      <xdr:rowOff>202467</xdr:rowOff>
    </xdr:from>
    <xdr:to>
      <xdr:col>5</xdr:col>
      <xdr:colOff>237149</xdr:colOff>
      <xdr:row>4</xdr:row>
      <xdr:rowOff>113998</xdr:rowOff>
    </xdr:to>
    <xdr:pic>
      <xdr:nvPicPr>
        <xdr:cNvPr id="5" name="Picture 4">
          <a:extLst>
            <a:ext uri="{FF2B5EF4-FFF2-40B4-BE49-F238E27FC236}">
              <a16:creationId xmlns:a16="http://schemas.microsoft.com/office/drawing/2014/main" id="{FBF817B0-30F5-40E0-920C-1ADE0B7051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0904" y="444255"/>
          <a:ext cx="1910862" cy="4757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1725706</xdr:colOff>
      <xdr:row>51</xdr:row>
      <xdr:rowOff>78441</xdr:rowOff>
    </xdr:from>
    <xdr:to>
      <xdr:col>7</xdr:col>
      <xdr:colOff>123265</xdr:colOff>
      <xdr:row>54</xdr:row>
      <xdr:rowOff>89647</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916206" y="9323294"/>
          <a:ext cx="2532530" cy="526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latin typeface="Times New Roman" pitchFamily="18" charset="0"/>
              <a:cs typeface="Times New Roman" pitchFamily="18" charset="0"/>
            </a:rPr>
            <a:t>Developed By:</a:t>
          </a:r>
        </a:p>
        <a:p>
          <a:r>
            <a:rPr lang="en-US" sz="1400">
              <a:latin typeface="Times New Roman" pitchFamily="18" charset="0"/>
              <a:cs typeface="Times New Roman" pitchFamily="18" charset="0"/>
            </a:rPr>
            <a:t>Dr. Raymond Massey</a:t>
          </a:r>
        </a:p>
      </xdr:txBody>
    </xdr:sp>
    <xdr:clientData/>
  </xdr:twoCellAnchor>
  <xdr:twoCellAnchor editAs="oneCell">
    <xdr:from>
      <xdr:col>2</xdr:col>
      <xdr:colOff>44826</xdr:colOff>
      <xdr:row>51</xdr:row>
      <xdr:rowOff>123266</xdr:rowOff>
    </xdr:from>
    <xdr:to>
      <xdr:col>2</xdr:col>
      <xdr:colOff>1631203</xdr:colOff>
      <xdr:row>54</xdr:row>
      <xdr:rowOff>84948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326" y="9368119"/>
          <a:ext cx="1580027" cy="477152"/>
        </a:xfrm>
        <a:prstGeom prst="rect">
          <a:avLst/>
        </a:prstGeom>
      </xdr:spPr>
    </xdr:pic>
    <xdr:clientData/>
  </xdr:twoCellAnchor>
  <xdr:twoCellAnchor>
    <xdr:from>
      <xdr:col>16</xdr:col>
      <xdr:colOff>0</xdr:colOff>
      <xdr:row>12</xdr:row>
      <xdr:rowOff>0</xdr:rowOff>
    </xdr:from>
    <xdr:to>
      <xdr:col>19</xdr:col>
      <xdr:colOff>723486</xdr:colOff>
      <xdr:row>17</xdr:row>
      <xdr:rowOff>77442</xdr:rowOff>
    </xdr:to>
    <xdr:sp macro="" textlink="">
      <xdr:nvSpPr>
        <xdr:cNvPr id="5" name="TextBox 4">
          <a:extLst>
            <a:ext uri="{FF2B5EF4-FFF2-40B4-BE49-F238E27FC236}">
              <a16:creationId xmlns:a16="http://schemas.microsoft.com/office/drawing/2014/main" id="{20D158EC-6552-423C-8585-F1FC37C1F2AB}"/>
            </a:ext>
          </a:extLst>
        </xdr:cNvPr>
        <xdr:cNvSpPr txBox="1"/>
      </xdr:nvSpPr>
      <xdr:spPr>
        <a:xfrm>
          <a:off x="9400761" y="2203174"/>
          <a:ext cx="4276725" cy="1038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dates below affect how insurance indemnities and premiums are processed. If you anticipate</a:t>
          </a:r>
          <a:r>
            <a:rPr lang="en-US" sz="1100" baseline="0"/>
            <a:t> replanting decisions near any of these dates, it is recommended that you enter dates in cells F16 and H16 that are on either side of the important dates below to see how it might affect your net income calculations in cells J51 through N51.</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1725706</xdr:colOff>
      <xdr:row>51</xdr:row>
      <xdr:rowOff>78441</xdr:rowOff>
    </xdr:from>
    <xdr:to>
      <xdr:col>6</xdr:col>
      <xdr:colOff>0</xdr:colOff>
      <xdr:row>54</xdr:row>
      <xdr:rowOff>89647</xdr:rowOff>
    </xdr:to>
    <xdr:sp macro="" textlink="">
      <xdr:nvSpPr>
        <xdr:cNvPr id="2" name="TextBox 1">
          <a:extLst>
            <a:ext uri="{FF2B5EF4-FFF2-40B4-BE49-F238E27FC236}">
              <a16:creationId xmlns:a16="http://schemas.microsoft.com/office/drawing/2014/main" id="{7CAAE400-1719-4094-8D67-793E75492BC3}"/>
            </a:ext>
          </a:extLst>
        </xdr:cNvPr>
        <xdr:cNvSpPr txBox="1"/>
      </xdr:nvSpPr>
      <xdr:spPr>
        <a:xfrm>
          <a:off x="1992406" y="9784416"/>
          <a:ext cx="2540934" cy="5350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latin typeface="Times New Roman" pitchFamily="18" charset="0"/>
              <a:cs typeface="Times New Roman" pitchFamily="18" charset="0"/>
            </a:rPr>
            <a:t>Developed By:</a:t>
          </a:r>
        </a:p>
        <a:p>
          <a:r>
            <a:rPr lang="en-US" sz="1400">
              <a:latin typeface="Times New Roman" pitchFamily="18" charset="0"/>
              <a:cs typeface="Times New Roman" pitchFamily="18" charset="0"/>
            </a:rPr>
            <a:t>Dr. Raymond Massey</a:t>
          </a:r>
        </a:p>
      </xdr:txBody>
    </xdr:sp>
    <xdr:clientData/>
  </xdr:twoCellAnchor>
  <xdr:twoCellAnchor editAs="oneCell">
    <xdr:from>
      <xdr:col>2</xdr:col>
      <xdr:colOff>44826</xdr:colOff>
      <xdr:row>51</xdr:row>
      <xdr:rowOff>123266</xdr:rowOff>
    </xdr:from>
    <xdr:to>
      <xdr:col>2</xdr:col>
      <xdr:colOff>1631203</xdr:colOff>
      <xdr:row>54</xdr:row>
      <xdr:rowOff>84948</xdr:rowOff>
    </xdr:to>
    <xdr:pic>
      <xdr:nvPicPr>
        <xdr:cNvPr id="3" name="Picture 2">
          <a:extLst>
            <a:ext uri="{FF2B5EF4-FFF2-40B4-BE49-F238E27FC236}">
              <a16:creationId xmlns:a16="http://schemas.microsoft.com/office/drawing/2014/main" id="{188469CC-24FC-458D-8232-C0792D80E9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1526" y="9829241"/>
          <a:ext cx="1580027" cy="485557"/>
        </a:xfrm>
        <a:prstGeom prst="rect">
          <a:avLst/>
        </a:prstGeom>
      </xdr:spPr>
    </xdr:pic>
    <xdr:clientData/>
  </xdr:twoCellAnchor>
  <xdr:twoCellAnchor>
    <xdr:from>
      <xdr:col>12</xdr:col>
      <xdr:colOff>0</xdr:colOff>
      <xdr:row>12</xdr:row>
      <xdr:rowOff>0</xdr:rowOff>
    </xdr:from>
    <xdr:to>
      <xdr:col>15</xdr:col>
      <xdr:colOff>724461</xdr:colOff>
      <xdr:row>17</xdr:row>
      <xdr:rowOff>74519</xdr:rowOff>
    </xdr:to>
    <xdr:sp macro="" textlink="">
      <xdr:nvSpPr>
        <xdr:cNvPr id="4" name="TextBox 3">
          <a:extLst>
            <a:ext uri="{FF2B5EF4-FFF2-40B4-BE49-F238E27FC236}">
              <a16:creationId xmlns:a16="http://schemas.microsoft.com/office/drawing/2014/main" id="{6B0489FD-B8AB-43EB-BAC3-F2B86F43247C}"/>
            </a:ext>
          </a:extLst>
        </xdr:cNvPr>
        <xdr:cNvSpPr txBox="1"/>
      </xdr:nvSpPr>
      <xdr:spPr>
        <a:xfrm>
          <a:off x="7463118" y="2185147"/>
          <a:ext cx="4276725" cy="1038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dates below affect how insurance indemnities and premiums are processed. If you anticipate</a:t>
          </a:r>
          <a:r>
            <a:rPr lang="en-US" sz="1100" baseline="0"/>
            <a:t> replanting decisions near any of these dates, it is recommended that you enter dates in cell F16 that are on either side of the important dates below to see how it might affect your net income calculations in cells H 51 and J51.</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1725706</xdr:colOff>
      <xdr:row>47</xdr:row>
      <xdr:rowOff>78441</xdr:rowOff>
    </xdr:from>
    <xdr:to>
      <xdr:col>7</xdr:col>
      <xdr:colOff>123265</xdr:colOff>
      <xdr:row>50</xdr:row>
      <xdr:rowOff>89647</xdr:rowOff>
    </xdr:to>
    <xdr:sp macro="" textlink="">
      <xdr:nvSpPr>
        <xdr:cNvPr id="2" name="TextBox 1">
          <a:extLst>
            <a:ext uri="{FF2B5EF4-FFF2-40B4-BE49-F238E27FC236}">
              <a16:creationId xmlns:a16="http://schemas.microsoft.com/office/drawing/2014/main" id="{DCFFE8B8-7CA6-4B89-AD0F-585179A475E4}"/>
            </a:ext>
          </a:extLst>
        </xdr:cNvPr>
        <xdr:cNvSpPr txBox="1"/>
      </xdr:nvSpPr>
      <xdr:spPr>
        <a:xfrm>
          <a:off x="1992406" y="9784416"/>
          <a:ext cx="2540934" cy="5350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latin typeface="Times New Roman" pitchFamily="18" charset="0"/>
              <a:cs typeface="Times New Roman" pitchFamily="18" charset="0"/>
            </a:rPr>
            <a:t>Developed By:</a:t>
          </a:r>
        </a:p>
        <a:p>
          <a:r>
            <a:rPr lang="en-US" sz="1400">
              <a:latin typeface="Times New Roman" pitchFamily="18" charset="0"/>
              <a:cs typeface="Times New Roman" pitchFamily="18" charset="0"/>
            </a:rPr>
            <a:t>Dr. Raymond Massey</a:t>
          </a:r>
        </a:p>
      </xdr:txBody>
    </xdr:sp>
    <xdr:clientData/>
  </xdr:twoCellAnchor>
  <xdr:twoCellAnchor editAs="oneCell">
    <xdr:from>
      <xdr:col>2</xdr:col>
      <xdr:colOff>44826</xdr:colOff>
      <xdr:row>47</xdr:row>
      <xdr:rowOff>123266</xdr:rowOff>
    </xdr:from>
    <xdr:to>
      <xdr:col>2</xdr:col>
      <xdr:colOff>1628028</xdr:colOff>
      <xdr:row>50</xdr:row>
      <xdr:rowOff>88124</xdr:rowOff>
    </xdr:to>
    <xdr:pic>
      <xdr:nvPicPr>
        <xdr:cNvPr id="3" name="Picture 2">
          <a:extLst>
            <a:ext uri="{FF2B5EF4-FFF2-40B4-BE49-F238E27FC236}">
              <a16:creationId xmlns:a16="http://schemas.microsoft.com/office/drawing/2014/main" id="{B66E2D33-F5BC-4AD3-8957-BD6CC07079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1526" y="9829241"/>
          <a:ext cx="1580027" cy="485557"/>
        </a:xfrm>
        <a:prstGeom prst="rect">
          <a:avLst/>
        </a:prstGeom>
      </xdr:spPr>
    </xdr:pic>
    <xdr:clientData/>
  </xdr:twoCellAnchor>
  <xdr:twoCellAnchor>
    <xdr:from>
      <xdr:col>16</xdr:col>
      <xdr:colOff>0</xdr:colOff>
      <xdr:row>11</xdr:row>
      <xdr:rowOff>0</xdr:rowOff>
    </xdr:from>
    <xdr:to>
      <xdr:col>19</xdr:col>
      <xdr:colOff>447261</xdr:colOff>
      <xdr:row>15</xdr:row>
      <xdr:rowOff>198782</xdr:rowOff>
    </xdr:to>
    <xdr:sp macro="" textlink="">
      <xdr:nvSpPr>
        <xdr:cNvPr id="4" name="TextBox 3">
          <a:extLst>
            <a:ext uri="{FF2B5EF4-FFF2-40B4-BE49-F238E27FC236}">
              <a16:creationId xmlns:a16="http://schemas.microsoft.com/office/drawing/2014/main" id="{E62B4890-B6C9-4F55-AF35-BEEAC3AC051E}"/>
            </a:ext>
          </a:extLst>
        </xdr:cNvPr>
        <xdr:cNvSpPr txBox="1"/>
      </xdr:nvSpPr>
      <xdr:spPr>
        <a:xfrm>
          <a:off x="9400761" y="1905000"/>
          <a:ext cx="4000500" cy="10767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dates below affect how insurance indemnities and premiums are processed. If you anticipate</a:t>
          </a:r>
          <a:r>
            <a:rPr lang="en-US" sz="1100" baseline="0"/>
            <a:t> replanting decisions near any of these dates, it is recommended that you enter dates in cells F16 and H16 that are on either side of the important dates below to see how it might affect your net income calculations in cells J47 through N47.</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1725706</xdr:colOff>
      <xdr:row>47</xdr:row>
      <xdr:rowOff>78441</xdr:rowOff>
    </xdr:from>
    <xdr:to>
      <xdr:col>5</xdr:col>
      <xdr:colOff>123265</xdr:colOff>
      <xdr:row>50</xdr:row>
      <xdr:rowOff>89647</xdr:rowOff>
    </xdr:to>
    <xdr:sp macro="" textlink="">
      <xdr:nvSpPr>
        <xdr:cNvPr id="2" name="TextBox 1">
          <a:extLst>
            <a:ext uri="{FF2B5EF4-FFF2-40B4-BE49-F238E27FC236}">
              <a16:creationId xmlns:a16="http://schemas.microsoft.com/office/drawing/2014/main" id="{417102E3-1BAB-431A-9D18-DEB0E067AC02}"/>
            </a:ext>
          </a:extLst>
        </xdr:cNvPr>
        <xdr:cNvSpPr txBox="1"/>
      </xdr:nvSpPr>
      <xdr:spPr>
        <a:xfrm>
          <a:off x="1992406" y="9022416"/>
          <a:ext cx="2540934" cy="5350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latin typeface="Times New Roman" pitchFamily="18" charset="0"/>
              <a:cs typeface="Times New Roman" pitchFamily="18" charset="0"/>
            </a:rPr>
            <a:t>Developed By:</a:t>
          </a:r>
        </a:p>
        <a:p>
          <a:r>
            <a:rPr lang="en-US" sz="1400">
              <a:latin typeface="Times New Roman" pitchFamily="18" charset="0"/>
              <a:cs typeface="Times New Roman" pitchFamily="18" charset="0"/>
            </a:rPr>
            <a:t>Dr. Raymond Massey</a:t>
          </a:r>
        </a:p>
      </xdr:txBody>
    </xdr:sp>
    <xdr:clientData/>
  </xdr:twoCellAnchor>
  <xdr:twoCellAnchor editAs="oneCell">
    <xdr:from>
      <xdr:col>2</xdr:col>
      <xdr:colOff>44826</xdr:colOff>
      <xdr:row>47</xdr:row>
      <xdr:rowOff>123266</xdr:rowOff>
    </xdr:from>
    <xdr:to>
      <xdr:col>2</xdr:col>
      <xdr:colOff>1628028</xdr:colOff>
      <xdr:row>50</xdr:row>
      <xdr:rowOff>88123</xdr:rowOff>
    </xdr:to>
    <xdr:pic>
      <xdr:nvPicPr>
        <xdr:cNvPr id="3" name="Picture 2">
          <a:extLst>
            <a:ext uri="{FF2B5EF4-FFF2-40B4-BE49-F238E27FC236}">
              <a16:creationId xmlns:a16="http://schemas.microsoft.com/office/drawing/2014/main" id="{E1076F27-435F-4935-8593-D7CA507C49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1526" y="9067241"/>
          <a:ext cx="1580027" cy="485557"/>
        </a:xfrm>
        <a:prstGeom prst="rect">
          <a:avLst/>
        </a:prstGeom>
      </xdr:spPr>
    </xdr:pic>
    <xdr:clientData/>
  </xdr:twoCellAnchor>
  <xdr:twoCellAnchor>
    <xdr:from>
      <xdr:col>12</xdr:col>
      <xdr:colOff>0</xdr:colOff>
      <xdr:row>11</xdr:row>
      <xdr:rowOff>0</xdr:rowOff>
    </xdr:from>
    <xdr:to>
      <xdr:col>15</xdr:col>
      <xdr:colOff>323850</xdr:colOff>
      <xdr:row>15</xdr:row>
      <xdr:rowOff>257175</xdr:rowOff>
    </xdr:to>
    <xdr:sp macro="" textlink="">
      <xdr:nvSpPr>
        <xdr:cNvPr id="4" name="TextBox 3">
          <a:extLst>
            <a:ext uri="{FF2B5EF4-FFF2-40B4-BE49-F238E27FC236}">
              <a16:creationId xmlns:a16="http://schemas.microsoft.com/office/drawing/2014/main" id="{AD8B7C55-1735-42C0-9873-FD88AEFB9C3D}"/>
            </a:ext>
          </a:extLst>
        </xdr:cNvPr>
        <xdr:cNvSpPr txBox="1"/>
      </xdr:nvSpPr>
      <xdr:spPr>
        <a:xfrm>
          <a:off x="7800975" y="1895475"/>
          <a:ext cx="3905250" cy="113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dates below affect how insurance indemnities and premiums are processed. If you anticipate</a:t>
          </a:r>
          <a:r>
            <a:rPr lang="en-US" sz="1100" baseline="0"/>
            <a:t> replanting decisions near any of these dates, it is recommended that you enter dates in cell F14 that are on either side of the important dates below to see how it might affect your net income calculations in cells H47 and J47.</a:t>
          </a:r>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B917613-4272-425A-A28E-55DC9A2D8BE0}" name="Table2" displayName="Table2" ref="Q19:T24" totalsRowShown="0">
  <autoFilter ref="Q19:T24" xr:uid="{A0D43A17-FD89-4C6C-AF47-A51E33F669E9}">
    <filterColumn colId="0" hiddenButton="1"/>
    <filterColumn colId="1" hiddenButton="1"/>
    <filterColumn colId="2" hiddenButton="1"/>
    <filterColumn colId="3" hiddenButton="1"/>
  </autoFilter>
  <tableColumns count="4">
    <tableColumn id="1" xr3:uid="{185566D8-C996-43E1-9C63-4E59DAF10047}" name="Important RMA dates" dataDxfId="43"/>
    <tableColumn id="2" xr3:uid="{F8E3A434-A339-438C-AD4C-82380E079278}" name="Corn" dataDxfId="42"/>
    <tableColumn id="3" xr3:uid="{07017E98-341F-4D99-8C36-E5E294D6875C}" name="Soybean" dataDxfId="41"/>
    <tableColumn id="4" xr3:uid="{43EEC550-C1C5-41F1-A423-96C1EE41DC48}" name="Relevance" dataDxfId="4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56DA434-1AE6-4FE6-95B3-872F6F47AC6D}" name="Table3" displayName="Table3" ref="M19:P24" totalsRowShown="0">
  <autoFilter ref="M19:P24" xr:uid="{9395CDC8-03FB-4604-81D7-4C5B4C3A453E}">
    <filterColumn colId="0" hiddenButton="1"/>
    <filterColumn colId="1" hiddenButton="1"/>
    <filterColumn colId="2" hiddenButton="1"/>
    <filterColumn colId="3" hiddenButton="1"/>
  </autoFilter>
  <tableColumns count="4">
    <tableColumn id="1" xr3:uid="{542457BC-6E6C-4C31-9CE7-B83D04651472}" name="Important RMA dates" dataDxfId="33"/>
    <tableColumn id="2" xr3:uid="{679E37F4-6354-4580-B247-33D43FF6AD14}" name="Corn" dataDxfId="32"/>
    <tableColumn id="3" xr3:uid="{02D9E471-4AE3-430D-AAE7-116A977A9C0A}" name="Soybean" dataDxfId="31"/>
    <tableColumn id="4" xr3:uid="{E4BC2434-A8F7-4982-9C89-9C77BDD09B2E}" name="Relevance" dataDxfId="3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290ACEF-6E0C-423C-8909-7B7154DE867D}" name="Table4" displayName="Table4" ref="Q17:T22" totalsRowShown="0">
  <autoFilter ref="Q17:T22" xr:uid="{1FE76445-2416-4C5D-90EE-3EAB2472D114}">
    <filterColumn colId="0" hiddenButton="1"/>
    <filterColumn colId="1" hiddenButton="1"/>
    <filterColumn colId="2" hiddenButton="1"/>
    <filterColumn colId="3" hiddenButton="1"/>
  </autoFilter>
  <tableColumns count="4">
    <tableColumn id="1" xr3:uid="{49C68F39-3200-4974-991F-875610FF778D}" name="Important RMA dates" dataDxfId="19"/>
    <tableColumn id="2" xr3:uid="{41A7C9EB-5E6F-440B-AC87-14B4105D74EA}" name="Corn" dataDxfId="18"/>
    <tableColumn id="3" xr3:uid="{F0EFF0C9-C5F5-41E2-BEC5-C0CA0D6D4F4F}" name="Soybean" dataDxfId="17"/>
    <tableColumn id="4" xr3:uid="{42A27AD5-D30D-480A-AB8E-9BE9D707EB39}" name="Relevance"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2AA0E6D-2D1B-45EC-9D4A-52F85ED2F471}" name="Table5" displayName="Table5" ref="M17:P22" totalsRowShown="0">
  <autoFilter ref="M17:P22" xr:uid="{3B86AAA3-C597-4B89-A55D-A051CADD3FB1}">
    <filterColumn colId="0" hiddenButton="1"/>
    <filterColumn colId="1" hiddenButton="1"/>
    <filterColumn colId="2" hiddenButton="1"/>
    <filterColumn colId="3" hiddenButton="1"/>
  </autoFilter>
  <tableColumns count="4">
    <tableColumn id="1" xr3:uid="{A981C402-B8DF-48BA-A7B6-96C09AB04073}" name="Column1" dataDxfId="8"/>
    <tableColumn id="2" xr3:uid="{0E7440BC-E135-4C33-B8E2-246AC5AA7DFA}" name="Corn" dataDxfId="7"/>
    <tableColumn id="3" xr3:uid="{0210DB68-7D29-45B9-BBFC-3BEA7BCFE706}" name="Soybean" dataDxfId="6"/>
    <tableColumn id="4" xr3:uid="{9F9DB985-FC50-4DCA-8D78-BC7633F1B43C}" name="Column2" dataDxfId="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976C17-634F-4E3A-9857-5348A4202FB6}" name="RMADates" displayName="RMADates" ref="A2:F117" totalsRowShown="0" headerRowDxfId="4">
  <autoFilter ref="A2:F117" xr:uid="{023068D8-DA33-450E-A37D-69C8D508EF0E}"/>
  <tableColumns count="6">
    <tableColumn id="1" xr3:uid="{E09CE714-A3A1-4E54-903C-D9D99B6E9B5F}" name="County"/>
    <tableColumn id="2" xr3:uid="{75AE3AAD-6A3F-4389-9D48-DCF3C6E3BCEB}" name="Region" dataDxfId="3"/>
    <tableColumn id="3" xr3:uid="{C8C3F7C0-6ABB-41C1-9692-0670423F63C7}" name="Corn Final Planting Date" dataDxfId="2"/>
    <tableColumn id="4" xr3:uid="{524E60EE-F4D2-4EE3-ADF6-A162F7D408CE}" name="Soybean Final Planting Date" dataDxfId="1"/>
    <tableColumn id="5" xr3:uid="{DFA654B3-F0B1-4C1B-A2EA-2CE10E170942}" name="Corn Initial Planting Date" dataDxfId="0"/>
    <tableColumn id="6" xr3:uid="{A85A1224-634A-495F-8C22-127E98CA3A33}" name="Soybean Initial Planting Date"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286"/>
  <sheetViews>
    <sheetView tabSelected="1" zoomScale="115" zoomScaleNormal="115" workbookViewId="0">
      <selection activeCell="C35" sqref="C35"/>
    </sheetView>
  </sheetViews>
  <sheetFormatPr defaultColWidth="9.140625" defaultRowHeight="12.75" x14ac:dyDescent="0.2"/>
  <cols>
    <col min="1" max="2" width="1.7109375" customWidth="1"/>
    <col min="16" max="16" width="5.7109375" customWidth="1"/>
    <col min="18" max="18" width="14.42578125" bestFit="1" customWidth="1"/>
  </cols>
  <sheetData>
    <row r="1" spans="1:31" ht="18.75" thickBot="1" x14ac:dyDescent="0.3">
      <c r="A1" s="146"/>
      <c r="B1" s="147"/>
      <c r="C1" s="148" t="s">
        <v>178</v>
      </c>
      <c r="D1" s="147"/>
      <c r="E1" s="147"/>
      <c r="F1" s="247"/>
      <c r="G1" s="247"/>
      <c r="H1" s="247"/>
      <c r="I1" s="247"/>
      <c r="J1" s="247"/>
      <c r="K1" s="247"/>
      <c r="L1" s="147"/>
      <c r="M1" s="147"/>
      <c r="N1" s="147"/>
      <c r="O1" s="147"/>
      <c r="P1" s="147"/>
      <c r="Q1" s="147"/>
      <c r="R1" s="147"/>
      <c r="S1" s="147"/>
      <c r="T1" s="147"/>
      <c r="U1" s="147"/>
      <c r="V1" s="147"/>
      <c r="W1" s="147"/>
      <c r="X1" s="147"/>
      <c r="Y1" s="147"/>
      <c r="Z1" s="147"/>
      <c r="AA1" s="147"/>
      <c r="AB1" s="147"/>
      <c r="AC1" s="147"/>
      <c r="AD1" s="147"/>
      <c r="AE1" s="147"/>
    </row>
    <row r="2" spans="1:31" ht="18.75" customHeight="1" thickTop="1" x14ac:dyDescent="0.25">
      <c r="A2" s="149"/>
      <c r="B2" s="248"/>
      <c r="C2" s="248"/>
      <c r="D2" s="248"/>
      <c r="E2" s="249"/>
      <c r="F2" s="250"/>
      <c r="G2" s="391" t="s">
        <v>243</v>
      </c>
      <c r="H2" s="391"/>
      <c r="I2" s="391"/>
      <c r="J2" s="391"/>
      <c r="K2" s="391"/>
      <c r="L2" s="391"/>
      <c r="M2" s="251"/>
      <c r="N2" s="251"/>
      <c r="O2" s="251"/>
      <c r="P2" s="251"/>
      <c r="Q2" s="251"/>
      <c r="R2" s="251"/>
      <c r="S2" s="251"/>
      <c r="T2" s="251"/>
      <c r="U2" s="251"/>
      <c r="V2" s="251"/>
      <c r="W2" s="251"/>
      <c r="X2" s="251"/>
      <c r="Y2" s="251"/>
      <c r="Z2" s="251"/>
      <c r="AA2" s="251"/>
      <c r="AB2" s="251"/>
      <c r="AC2" s="251"/>
      <c r="AD2" s="251"/>
      <c r="AE2" s="251"/>
    </row>
    <row r="3" spans="1:31" ht="12.75" customHeight="1" x14ac:dyDescent="0.2">
      <c r="A3" s="149"/>
      <c r="B3" s="252"/>
      <c r="C3" s="212"/>
      <c r="D3" s="251"/>
      <c r="E3" s="251"/>
      <c r="F3" s="250"/>
      <c r="G3" s="391"/>
      <c r="H3" s="391"/>
      <c r="I3" s="391"/>
      <c r="J3" s="391"/>
      <c r="K3" s="391"/>
      <c r="L3" s="391"/>
      <c r="M3" s="251"/>
      <c r="N3" s="251"/>
      <c r="O3" s="251"/>
      <c r="P3" s="251"/>
      <c r="Q3" s="251"/>
      <c r="R3" s="251"/>
      <c r="S3" s="251"/>
      <c r="T3" s="251"/>
      <c r="U3" s="251"/>
      <c r="V3" s="251"/>
      <c r="W3" s="251"/>
      <c r="X3" s="251"/>
      <c r="Y3" s="251"/>
      <c r="Z3" s="251"/>
      <c r="AA3" s="251"/>
      <c r="AB3" s="251"/>
      <c r="AC3" s="251"/>
      <c r="AD3" s="251"/>
      <c r="AE3" s="251"/>
    </row>
    <row r="4" spans="1:31" ht="12.75" customHeight="1" x14ac:dyDescent="0.2">
      <c r="A4" s="149"/>
      <c r="B4" s="252"/>
      <c r="C4" s="212"/>
      <c r="D4" s="251"/>
      <c r="E4" s="251"/>
      <c r="F4" s="250"/>
      <c r="G4" s="391"/>
      <c r="H4" s="391"/>
      <c r="I4" s="391"/>
      <c r="J4" s="391"/>
      <c r="K4" s="391"/>
      <c r="L4" s="391"/>
      <c r="M4" s="251"/>
      <c r="N4" s="251"/>
      <c r="O4" s="251"/>
      <c r="P4" s="251"/>
      <c r="Q4" s="251"/>
      <c r="R4" s="251"/>
      <c r="S4" s="251"/>
      <c r="T4" s="251"/>
      <c r="U4" s="251"/>
      <c r="V4" s="251"/>
      <c r="W4" s="251"/>
      <c r="X4" s="251"/>
      <c r="Y4" s="251"/>
      <c r="Z4" s="251"/>
      <c r="AA4" s="251"/>
      <c r="AB4" s="251"/>
      <c r="AC4" s="251"/>
      <c r="AD4" s="251"/>
      <c r="AE4" s="251"/>
    </row>
    <row r="5" spans="1:31" ht="12.75" customHeight="1" x14ac:dyDescent="0.2">
      <c r="A5" s="149"/>
      <c r="B5" s="252"/>
      <c r="C5" s="212"/>
      <c r="D5" s="251"/>
      <c r="E5" s="251"/>
      <c r="F5" s="250"/>
      <c r="G5" s="391"/>
      <c r="H5" s="391"/>
      <c r="I5" s="391"/>
      <c r="J5" s="391"/>
      <c r="K5" s="391"/>
      <c r="L5" s="391"/>
      <c r="M5" s="251"/>
      <c r="N5" s="251"/>
      <c r="O5" s="251"/>
      <c r="P5" s="251"/>
      <c r="Q5" s="251"/>
      <c r="R5" s="251"/>
      <c r="S5" s="251"/>
      <c r="T5" s="251"/>
      <c r="U5" s="251"/>
      <c r="V5" s="251"/>
      <c r="W5" s="251"/>
      <c r="X5" s="251"/>
      <c r="Y5" s="251"/>
      <c r="Z5" s="251"/>
      <c r="AA5" s="251"/>
      <c r="AB5" s="251"/>
      <c r="AC5" s="251"/>
      <c r="AD5" s="251"/>
      <c r="AE5" s="251"/>
    </row>
    <row r="6" spans="1:31" ht="12.75" customHeight="1" x14ac:dyDescent="0.2">
      <c r="A6" s="156"/>
      <c r="B6" s="251"/>
      <c r="C6" s="212"/>
      <c r="D6" s="251"/>
      <c r="E6" s="251"/>
      <c r="F6" s="250"/>
      <c r="G6" s="391"/>
      <c r="H6" s="391"/>
      <c r="I6" s="391"/>
      <c r="J6" s="391"/>
      <c r="K6" s="391"/>
      <c r="L6" s="391"/>
      <c r="M6" s="251"/>
      <c r="N6" s="251"/>
      <c r="O6" s="251"/>
      <c r="P6" s="251"/>
      <c r="Q6" s="251"/>
      <c r="R6" s="251"/>
      <c r="S6" s="251"/>
      <c r="T6" s="251"/>
      <c r="U6" s="251"/>
      <c r="V6" s="251"/>
      <c r="W6" s="251"/>
      <c r="X6" s="251"/>
      <c r="Y6" s="251"/>
      <c r="Z6" s="251"/>
      <c r="AA6" s="251"/>
      <c r="AB6" s="251"/>
      <c r="AC6" s="251"/>
      <c r="AD6" s="251"/>
      <c r="AE6" s="251"/>
    </row>
    <row r="7" spans="1:31" ht="12.75" customHeight="1" x14ac:dyDescent="0.2">
      <c r="A7" s="156"/>
      <c r="B7" s="251"/>
      <c r="C7" s="212"/>
      <c r="D7" s="251"/>
      <c r="E7" s="251"/>
      <c r="F7" s="250"/>
      <c r="G7" s="391"/>
      <c r="H7" s="391"/>
      <c r="I7" s="391"/>
      <c r="J7" s="391"/>
      <c r="K7" s="391"/>
      <c r="L7" s="391"/>
      <c r="M7" s="251"/>
      <c r="N7" s="251"/>
      <c r="O7" s="251"/>
      <c r="P7" s="251"/>
      <c r="Q7" s="251"/>
      <c r="R7" s="251"/>
      <c r="S7" s="251"/>
      <c r="T7" s="251"/>
      <c r="U7" s="251"/>
      <c r="V7" s="251"/>
      <c r="W7" s="251"/>
      <c r="X7" s="251"/>
      <c r="Y7" s="251"/>
      <c r="Z7" s="251"/>
      <c r="AA7" s="251"/>
      <c r="AB7" s="251"/>
      <c r="AC7" s="251"/>
      <c r="AD7" s="251"/>
      <c r="AE7" s="251"/>
    </row>
    <row r="8" spans="1:31" ht="12.75" customHeight="1" x14ac:dyDescent="0.2">
      <c r="A8" s="156"/>
      <c r="B8" s="251"/>
      <c r="C8" s="212"/>
      <c r="D8" s="251"/>
      <c r="E8" s="251"/>
      <c r="F8" s="250"/>
      <c r="G8" s="391"/>
      <c r="H8" s="391"/>
      <c r="I8" s="391"/>
      <c r="J8" s="391"/>
      <c r="K8" s="391"/>
      <c r="L8" s="391"/>
      <c r="M8" s="251"/>
      <c r="N8" s="251"/>
      <c r="O8" s="251"/>
      <c r="P8" s="251"/>
      <c r="Q8" s="251"/>
      <c r="R8" s="251"/>
      <c r="S8" s="251"/>
      <c r="T8" s="251"/>
      <c r="U8" s="251"/>
      <c r="V8" s="251"/>
      <c r="W8" s="251"/>
      <c r="X8" s="251"/>
      <c r="Y8" s="251"/>
      <c r="Z8" s="251"/>
      <c r="AA8" s="251"/>
      <c r="AB8" s="251"/>
      <c r="AC8" s="251"/>
      <c r="AD8" s="251"/>
      <c r="AE8" s="251"/>
    </row>
    <row r="9" spans="1:31" ht="12.75" customHeight="1" x14ac:dyDescent="0.2">
      <c r="A9" s="156"/>
      <c r="B9" s="251"/>
      <c r="C9" s="251"/>
      <c r="D9" s="251"/>
      <c r="E9" s="251"/>
      <c r="F9" s="250"/>
      <c r="G9" s="391"/>
      <c r="H9" s="391"/>
      <c r="I9" s="391"/>
      <c r="J9" s="391"/>
      <c r="K9" s="391"/>
      <c r="L9" s="391"/>
      <c r="M9" s="251"/>
      <c r="N9" s="251"/>
      <c r="O9" s="251"/>
      <c r="P9" s="251"/>
      <c r="Q9" s="251"/>
      <c r="R9" s="251"/>
      <c r="S9" s="251"/>
      <c r="T9" s="251"/>
      <c r="U9" s="251"/>
      <c r="V9" s="251"/>
      <c r="W9" s="251"/>
      <c r="X9" s="251"/>
      <c r="Y9" s="251"/>
      <c r="Z9" s="251"/>
      <c r="AA9" s="251"/>
      <c r="AB9" s="251"/>
      <c r="AC9" s="251"/>
      <c r="AD9" s="251"/>
      <c r="AE9" s="251"/>
    </row>
    <row r="10" spans="1:31" ht="27" customHeight="1" x14ac:dyDescent="0.2">
      <c r="A10" s="156"/>
      <c r="B10" s="251"/>
      <c r="C10" s="251"/>
      <c r="D10" s="251"/>
      <c r="E10" s="251"/>
      <c r="F10" s="250"/>
      <c r="G10" s="250"/>
      <c r="H10" s="250"/>
      <c r="I10" s="250"/>
      <c r="J10" s="250"/>
      <c r="K10" s="250"/>
      <c r="L10" s="251"/>
      <c r="M10" s="251"/>
      <c r="N10" s="251"/>
      <c r="O10" s="251"/>
      <c r="P10" s="251"/>
      <c r="Q10" s="251"/>
      <c r="R10" s="251"/>
      <c r="S10" s="251"/>
      <c r="T10" s="251"/>
      <c r="U10" s="251"/>
      <c r="V10" s="251"/>
      <c r="W10" s="251"/>
      <c r="X10" s="251"/>
      <c r="Y10" s="251"/>
      <c r="Z10" s="251"/>
      <c r="AA10" s="251"/>
      <c r="AB10" s="251"/>
      <c r="AC10" s="251"/>
      <c r="AD10" s="251"/>
      <c r="AE10" s="251"/>
    </row>
    <row r="11" spans="1:31" ht="15.75" customHeight="1" x14ac:dyDescent="0.25">
      <c r="A11" s="156"/>
      <c r="B11" s="251"/>
      <c r="C11" s="394" t="s">
        <v>187</v>
      </c>
      <c r="D11" s="394"/>
      <c r="E11" s="251"/>
      <c r="F11" s="251"/>
      <c r="G11" s="251"/>
      <c r="H11" s="251"/>
      <c r="I11" s="251"/>
      <c r="J11" s="251"/>
      <c r="K11" s="396" t="s">
        <v>185</v>
      </c>
      <c r="L11" s="396"/>
      <c r="M11" s="396"/>
      <c r="N11" s="396"/>
      <c r="O11" s="251"/>
      <c r="P11" s="251"/>
      <c r="Q11" s="251"/>
      <c r="R11" s="251"/>
      <c r="S11" s="251"/>
      <c r="T11" s="251"/>
      <c r="U11" s="251"/>
      <c r="V11" s="251"/>
      <c r="W11" s="251"/>
      <c r="X11" s="251"/>
      <c r="Y11" s="251"/>
      <c r="Z11" s="251"/>
      <c r="AA11" s="251"/>
      <c r="AB11" s="251"/>
      <c r="AC11" s="251"/>
      <c r="AD11" s="251"/>
      <c r="AE11" s="251"/>
    </row>
    <row r="12" spans="1:31" ht="7.5" customHeight="1" x14ac:dyDescent="0.2">
      <c r="A12" s="156"/>
      <c r="B12" s="251"/>
      <c r="C12" s="212"/>
      <c r="D12" s="251"/>
      <c r="E12" s="251"/>
      <c r="F12" s="251"/>
      <c r="G12" s="251"/>
      <c r="H12" s="251"/>
      <c r="I12" s="251"/>
      <c r="J12" s="251"/>
      <c r="K12" s="396"/>
      <c r="L12" s="396"/>
      <c r="M12" s="396"/>
      <c r="N12" s="396"/>
      <c r="O12" s="251"/>
      <c r="P12" s="251"/>
      <c r="Q12" s="251"/>
      <c r="R12" s="251"/>
      <c r="S12" s="251"/>
      <c r="T12" s="251"/>
      <c r="U12" s="251"/>
      <c r="V12" s="251"/>
      <c r="W12" s="251"/>
      <c r="X12" s="251"/>
      <c r="Y12" s="251"/>
      <c r="Z12" s="251"/>
      <c r="AA12" s="251"/>
      <c r="AB12" s="251"/>
      <c r="AC12" s="251"/>
      <c r="AD12" s="251"/>
      <c r="AE12" s="251"/>
    </row>
    <row r="13" spans="1:31" ht="7.5" customHeight="1" x14ac:dyDescent="0.2">
      <c r="A13" s="156"/>
      <c r="B13" s="251"/>
      <c r="C13" s="212"/>
      <c r="D13" s="251"/>
      <c r="E13" s="251"/>
      <c r="F13" s="251"/>
      <c r="G13" s="251"/>
      <c r="H13" s="251"/>
      <c r="I13" s="251"/>
      <c r="J13" s="251"/>
      <c r="K13" s="396"/>
      <c r="L13" s="396"/>
      <c r="M13" s="396"/>
      <c r="N13" s="396"/>
      <c r="O13" s="251"/>
      <c r="P13" s="251"/>
      <c r="Q13" s="251"/>
      <c r="R13" s="251"/>
      <c r="S13" s="251"/>
      <c r="T13" s="251"/>
      <c r="U13" s="251"/>
      <c r="V13" s="251"/>
      <c r="W13" s="251"/>
      <c r="X13" s="251"/>
      <c r="Y13" s="251"/>
      <c r="Z13" s="251"/>
      <c r="AA13" s="251"/>
      <c r="AB13" s="251"/>
      <c r="AC13" s="251"/>
      <c r="AD13" s="251"/>
      <c r="AE13" s="251"/>
    </row>
    <row r="14" spans="1:31" ht="12.75" customHeight="1" thickBot="1" x14ac:dyDescent="0.25">
      <c r="A14" s="156"/>
      <c r="B14" s="251"/>
      <c r="C14" s="395" t="s">
        <v>202</v>
      </c>
      <c r="D14" s="395"/>
      <c r="E14" s="395"/>
      <c r="F14" s="395"/>
      <c r="G14" s="395"/>
      <c r="H14" s="395"/>
      <c r="I14" s="251"/>
      <c r="J14" s="251"/>
      <c r="K14" s="253"/>
      <c r="L14" s="253"/>
      <c r="M14" s="253"/>
      <c r="N14" s="253"/>
      <c r="O14" s="251"/>
      <c r="P14" s="251"/>
      <c r="Q14" s="251"/>
      <c r="R14" s="251"/>
      <c r="S14" s="251"/>
      <c r="T14" s="251"/>
      <c r="U14" s="251"/>
      <c r="W14" s="251"/>
      <c r="X14" s="251"/>
      <c r="Y14" s="251"/>
      <c r="Z14" s="251"/>
      <c r="AA14" s="251"/>
      <c r="AB14" s="251"/>
      <c r="AC14" s="251"/>
      <c r="AD14" s="251"/>
      <c r="AE14" s="251"/>
    </row>
    <row r="15" spans="1:31" x14ac:dyDescent="0.2">
      <c r="A15" s="156"/>
      <c r="B15" s="251"/>
      <c r="C15" s="395"/>
      <c r="D15" s="395"/>
      <c r="E15" s="395"/>
      <c r="F15" s="395"/>
      <c r="G15" s="395"/>
      <c r="H15" s="395"/>
      <c r="I15" s="251"/>
      <c r="J15" s="251"/>
      <c r="K15" s="254"/>
      <c r="L15" s="398" t="s">
        <v>23</v>
      </c>
      <c r="M15" s="399"/>
      <c r="N15" s="251"/>
      <c r="O15" s="251"/>
      <c r="P15" s="251"/>
      <c r="Q15" s="251"/>
      <c r="R15" s="251"/>
      <c r="S15" s="251"/>
      <c r="T15" s="251"/>
      <c r="U15" s="251"/>
      <c r="W15" s="251"/>
      <c r="X15" s="251"/>
      <c r="Y15" s="251"/>
      <c r="Z15" s="251"/>
      <c r="AA15" s="251"/>
      <c r="AB15" s="251"/>
      <c r="AC15" s="251"/>
      <c r="AD15" s="251"/>
      <c r="AE15" s="251"/>
    </row>
    <row r="16" spans="1:31" x14ac:dyDescent="0.2">
      <c r="A16" s="156"/>
      <c r="B16" s="251"/>
      <c r="C16" s="395"/>
      <c r="D16" s="395"/>
      <c r="E16" s="395"/>
      <c r="F16" s="395"/>
      <c r="G16" s="395"/>
      <c r="H16" s="395"/>
      <c r="I16" s="251"/>
      <c r="J16" s="251"/>
      <c r="K16" s="255" t="s">
        <v>182</v>
      </c>
      <c r="L16" s="256" t="s">
        <v>0</v>
      </c>
      <c r="M16" s="257" t="s">
        <v>1</v>
      </c>
      <c r="N16" s="251"/>
      <c r="O16" s="251"/>
      <c r="P16" s="251"/>
      <c r="Q16" s="251"/>
      <c r="R16" s="251"/>
      <c r="S16" s="251"/>
      <c r="T16" s="251"/>
      <c r="U16" s="251"/>
      <c r="W16" s="251"/>
      <c r="X16" s="251"/>
      <c r="Y16" s="251"/>
      <c r="Z16" s="251"/>
      <c r="AA16" s="251"/>
      <c r="AB16" s="251"/>
      <c r="AC16" s="251"/>
      <c r="AD16" s="251"/>
      <c r="AE16" s="251"/>
    </row>
    <row r="17" spans="1:31" ht="12.75" customHeight="1" thickBot="1" x14ac:dyDescent="0.25">
      <c r="A17" s="156"/>
      <c r="B17" s="251"/>
      <c r="C17" s="251"/>
      <c r="D17" s="251"/>
      <c r="E17" s="251"/>
      <c r="F17" s="251"/>
      <c r="G17" s="251"/>
      <c r="H17" s="251"/>
      <c r="I17" s="251"/>
      <c r="J17" s="251"/>
      <c r="K17" s="262">
        <v>2023</v>
      </c>
      <c r="L17" s="263">
        <v>5.91</v>
      </c>
      <c r="M17" s="264">
        <v>13.76</v>
      </c>
      <c r="N17" s="251"/>
      <c r="O17" s="251"/>
      <c r="P17" s="251"/>
      <c r="Q17" s="251"/>
      <c r="R17" s="251"/>
      <c r="S17" s="251"/>
      <c r="T17" s="251"/>
      <c r="U17" s="251"/>
      <c r="W17" s="251"/>
      <c r="X17" s="251"/>
      <c r="Y17" s="251"/>
      <c r="Z17" s="251"/>
      <c r="AA17" s="251"/>
      <c r="AB17" s="251"/>
      <c r="AC17" s="251"/>
      <c r="AD17" s="251"/>
      <c r="AE17" s="251"/>
    </row>
    <row r="18" spans="1:31" x14ac:dyDescent="0.2">
      <c r="A18" s="156"/>
      <c r="B18" s="251"/>
      <c r="C18" s="1" t="s">
        <v>179</v>
      </c>
      <c r="D18" s="251"/>
      <c r="E18" s="251"/>
      <c r="F18" s="251"/>
      <c r="G18" s="251"/>
      <c r="H18" s="251"/>
      <c r="I18" s="251"/>
      <c r="J18" s="251"/>
      <c r="K18" s="392" t="s">
        <v>186</v>
      </c>
      <c r="L18" s="392"/>
      <c r="M18" s="392"/>
      <c r="N18" s="251"/>
      <c r="O18" s="251"/>
      <c r="P18" s="251"/>
      <c r="Q18" s="251"/>
      <c r="R18" s="251"/>
      <c r="S18" s="251"/>
      <c r="T18" s="251"/>
      <c r="U18" s="251"/>
      <c r="V18" s="251"/>
      <c r="W18" s="251"/>
      <c r="X18" s="251"/>
      <c r="Y18" s="251"/>
      <c r="Z18" s="251"/>
      <c r="AA18" s="251"/>
      <c r="AB18" s="251"/>
      <c r="AC18" s="251"/>
      <c r="AD18" s="251"/>
      <c r="AE18" s="251"/>
    </row>
    <row r="19" spans="1:31" ht="12.75" customHeight="1" x14ac:dyDescent="0.2">
      <c r="A19" s="156"/>
      <c r="B19" s="251"/>
      <c r="C19" s="251"/>
      <c r="D19" s="251"/>
      <c r="E19" s="251"/>
      <c r="F19" s="251"/>
      <c r="G19" s="251"/>
      <c r="H19" s="251"/>
      <c r="I19" s="251"/>
      <c r="J19" s="251"/>
      <c r="K19" s="393"/>
      <c r="L19" s="393"/>
      <c r="M19" s="393"/>
      <c r="N19" s="251"/>
      <c r="O19" s="251"/>
      <c r="P19" s="251"/>
      <c r="Q19" s="251"/>
      <c r="R19" s="258"/>
      <c r="S19" s="251"/>
      <c r="T19" s="251"/>
      <c r="U19" s="251"/>
      <c r="V19" s="251"/>
      <c r="W19" s="251"/>
      <c r="X19" s="251"/>
      <c r="Y19" s="251"/>
      <c r="Z19" s="251"/>
      <c r="AA19" s="251"/>
      <c r="AB19" s="251"/>
      <c r="AC19" s="251"/>
      <c r="AD19" s="251"/>
      <c r="AE19" s="251"/>
    </row>
    <row r="20" spans="1:31" x14ac:dyDescent="0.2">
      <c r="A20" s="156"/>
      <c r="B20" s="251"/>
      <c r="C20" s="396" t="s">
        <v>180</v>
      </c>
      <c r="D20" s="396"/>
      <c r="E20" s="396"/>
      <c r="F20" s="396"/>
      <c r="G20" s="396"/>
      <c r="H20" s="396"/>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row>
    <row r="21" spans="1:31" ht="12.75" customHeight="1" x14ac:dyDescent="0.2">
      <c r="A21" s="156"/>
      <c r="B21" s="251"/>
      <c r="C21" s="396"/>
      <c r="D21" s="396"/>
      <c r="E21" s="396"/>
      <c r="F21" s="396"/>
      <c r="G21" s="396"/>
      <c r="H21" s="396"/>
      <c r="I21" s="251"/>
      <c r="J21" s="251"/>
      <c r="K21" s="397" t="s">
        <v>201</v>
      </c>
      <c r="L21" s="397"/>
      <c r="M21" s="397"/>
      <c r="N21" s="397"/>
      <c r="O21" s="397"/>
      <c r="P21" s="397"/>
      <c r="Q21" s="251"/>
      <c r="R21" s="251"/>
      <c r="S21" s="251"/>
      <c r="T21" s="251"/>
      <c r="U21" s="251"/>
      <c r="V21" s="251"/>
      <c r="W21" s="251"/>
      <c r="X21" s="251"/>
      <c r="Y21" s="251"/>
      <c r="Z21" s="251"/>
      <c r="AA21" s="251"/>
      <c r="AB21" s="251"/>
      <c r="AC21" s="251"/>
      <c r="AD21" s="251"/>
      <c r="AE21" s="251"/>
    </row>
    <row r="22" spans="1:31" x14ac:dyDescent="0.2">
      <c r="A22" s="156"/>
      <c r="B22" s="251"/>
      <c r="C22" s="396"/>
      <c r="D22" s="396"/>
      <c r="E22" s="396"/>
      <c r="F22" s="396"/>
      <c r="G22" s="396"/>
      <c r="H22" s="396"/>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row>
    <row r="23" spans="1:31" ht="11.25" customHeight="1" x14ac:dyDescent="0.2">
      <c r="A23" s="156"/>
      <c r="B23" s="251"/>
      <c r="C23" s="259"/>
      <c r="D23" s="259"/>
      <c r="E23" s="259"/>
      <c r="F23" s="259"/>
      <c r="G23" s="259"/>
      <c r="H23" s="259"/>
      <c r="I23" s="251"/>
      <c r="J23" s="251"/>
      <c r="K23" s="401" t="s">
        <v>184</v>
      </c>
      <c r="L23" s="401"/>
      <c r="M23" s="401"/>
      <c r="N23" s="401"/>
      <c r="O23" s="401"/>
      <c r="P23" s="401"/>
      <c r="Q23" s="251"/>
      <c r="R23" s="251"/>
      <c r="S23" s="251"/>
      <c r="T23" s="251"/>
      <c r="U23" s="251"/>
      <c r="V23" s="251"/>
      <c r="W23" s="251"/>
      <c r="X23" s="251"/>
      <c r="Y23" s="251"/>
      <c r="Z23" s="251"/>
      <c r="AA23" s="251"/>
      <c r="AB23" s="251"/>
      <c r="AC23" s="251"/>
      <c r="AD23" s="251"/>
      <c r="AE23" s="251"/>
    </row>
    <row r="24" spans="1:31" ht="15.75" customHeight="1" x14ac:dyDescent="0.2">
      <c r="A24" s="156"/>
      <c r="B24" s="251"/>
      <c r="C24" s="396" t="s">
        <v>181</v>
      </c>
      <c r="D24" s="396"/>
      <c r="E24" s="396"/>
      <c r="F24" s="396"/>
      <c r="G24" s="396"/>
      <c r="H24" s="396"/>
      <c r="I24" s="251"/>
      <c r="J24" s="251"/>
      <c r="K24" s="401"/>
      <c r="L24" s="401"/>
      <c r="M24" s="401"/>
      <c r="N24" s="401"/>
      <c r="O24" s="401"/>
      <c r="P24" s="401"/>
      <c r="Q24" s="251"/>
      <c r="R24" s="251"/>
      <c r="S24" s="251"/>
      <c r="T24" s="251"/>
      <c r="U24" s="251"/>
      <c r="V24" s="251"/>
      <c r="W24" s="251"/>
      <c r="X24" s="251"/>
      <c r="Y24" s="251"/>
      <c r="Z24" s="251"/>
      <c r="AA24" s="251"/>
      <c r="AB24" s="251"/>
      <c r="AC24" s="251"/>
      <c r="AD24" s="251"/>
      <c r="AE24" s="251"/>
    </row>
    <row r="25" spans="1:31" ht="12.75" customHeight="1" x14ac:dyDescent="0.2">
      <c r="A25" s="156"/>
      <c r="B25" s="251"/>
      <c r="C25" s="396"/>
      <c r="D25" s="396"/>
      <c r="E25" s="396"/>
      <c r="F25" s="396"/>
      <c r="G25" s="396"/>
      <c r="H25" s="396"/>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row>
    <row r="26" spans="1:31" x14ac:dyDescent="0.2">
      <c r="A26" s="156"/>
      <c r="B26" s="251"/>
      <c r="C26" s="396"/>
      <c r="D26" s="396"/>
      <c r="E26" s="396"/>
      <c r="F26" s="396"/>
      <c r="G26" s="396"/>
      <c r="H26" s="396"/>
      <c r="I26" s="251"/>
      <c r="J26" s="251"/>
      <c r="K26" s="401" t="s">
        <v>183</v>
      </c>
      <c r="L26" s="401"/>
      <c r="M26" s="401"/>
      <c r="N26" s="401"/>
      <c r="O26" s="401"/>
      <c r="P26" s="401"/>
      <c r="Q26" s="251"/>
      <c r="R26" s="251"/>
      <c r="S26" s="251"/>
      <c r="T26" s="251"/>
      <c r="U26" s="251"/>
      <c r="V26" s="251"/>
      <c r="W26" s="251"/>
      <c r="X26" s="251"/>
      <c r="Y26" s="251"/>
      <c r="Z26" s="251"/>
      <c r="AA26" s="251"/>
      <c r="AB26" s="251"/>
      <c r="AC26" s="251"/>
      <c r="AD26" s="251"/>
      <c r="AE26" s="251"/>
    </row>
    <row r="27" spans="1:31" ht="12.75" customHeight="1" x14ac:dyDescent="0.2">
      <c r="A27" s="156"/>
      <c r="B27" s="251"/>
      <c r="C27" s="259"/>
      <c r="D27" s="259"/>
      <c r="E27" s="259"/>
      <c r="F27" s="259"/>
      <c r="G27" s="259"/>
      <c r="H27" s="259"/>
      <c r="I27" s="251"/>
      <c r="J27" s="251"/>
      <c r="K27" s="401"/>
      <c r="L27" s="401"/>
      <c r="M27" s="401"/>
      <c r="N27" s="401"/>
      <c r="O27" s="401"/>
      <c r="P27" s="401"/>
      <c r="Q27" s="251"/>
      <c r="R27" s="251"/>
      <c r="S27" s="251"/>
      <c r="T27" s="251"/>
      <c r="U27" s="251"/>
      <c r="V27" s="251"/>
      <c r="W27" s="251"/>
      <c r="X27" s="251"/>
      <c r="Y27" s="251"/>
      <c r="Z27" s="251"/>
      <c r="AA27" s="251"/>
      <c r="AB27" s="251"/>
      <c r="AC27" s="251"/>
      <c r="AD27" s="251"/>
      <c r="AE27" s="251"/>
    </row>
    <row r="28" spans="1:31" ht="9.75" customHeight="1" x14ac:dyDescent="0.2">
      <c r="A28" s="156"/>
      <c r="B28" s="251"/>
      <c r="C28" s="403" t="s">
        <v>188</v>
      </c>
      <c r="D28" s="403"/>
      <c r="E28" s="403"/>
      <c r="F28" s="403"/>
      <c r="G28" s="403"/>
      <c r="H28" s="403"/>
      <c r="I28" s="251"/>
      <c r="J28" s="251"/>
      <c r="K28" s="260"/>
      <c r="L28" s="260"/>
      <c r="M28" s="260"/>
      <c r="N28" s="260"/>
      <c r="O28" s="260"/>
      <c r="P28" s="260"/>
      <c r="Q28" s="251"/>
      <c r="R28" s="251"/>
      <c r="S28" s="251"/>
      <c r="T28" s="251"/>
      <c r="U28" s="251"/>
      <c r="V28" s="251"/>
      <c r="W28" s="251"/>
      <c r="X28" s="251"/>
      <c r="Y28" s="251"/>
      <c r="Z28" s="251"/>
      <c r="AA28" s="251"/>
      <c r="AB28" s="251"/>
      <c r="AC28" s="251"/>
      <c r="AD28" s="251"/>
      <c r="AE28" s="251"/>
    </row>
    <row r="29" spans="1:31" x14ac:dyDescent="0.2">
      <c r="A29" s="156"/>
      <c r="B29" s="251"/>
      <c r="C29" s="403"/>
      <c r="D29" s="403"/>
      <c r="E29" s="403"/>
      <c r="F29" s="403"/>
      <c r="G29" s="403"/>
      <c r="H29" s="403"/>
      <c r="I29" s="251"/>
      <c r="J29" s="251"/>
      <c r="K29" s="404" t="s">
        <v>242</v>
      </c>
      <c r="L29" s="404"/>
      <c r="M29" s="404"/>
      <c r="N29" s="404"/>
      <c r="O29" s="404"/>
      <c r="P29" s="404"/>
      <c r="Q29" s="251"/>
      <c r="R29" s="251"/>
      <c r="S29" s="251"/>
      <c r="T29" s="251"/>
      <c r="U29" s="251"/>
      <c r="V29" s="251"/>
      <c r="W29" s="251"/>
      <c r="X29" s="251"/>
      <c r="Y29" s="251"/>
      <c r="Z29" s="251"/>
      <c r="AA29" s="251"/>
      <c r="AB29" s="251"/>
      <c r="AC29" s="251"/>
      <c r="AD29" s="251"/>
      <c r="AE29" s="251"/>
    </row>
    <row r="30" spans="1:31" ht="12.75" customHeight="1" x14ac:dyDescent="0.2">
      <c r="A30" s="156"/>
      <c r="B30" s="251"/>
      <c r="C30" s="403"/>
      <c r="D30" s="403"/>
      <c r="E30" s="403"/>
      <c r="F30" s="403"/>
      <c r="G30" s="403"/>
      <c r="H30" s="403"/>
      <c r="I30" s="251"/>
      <c r="J30" s="251"/>
      <c r="K30" s="404"/>
      <c r="L30" s="404"/>
      <c r="M30" s="404"/>
      <c r="N30" s="404"/>
      <c r="O30" s="404"/>
      <c r="P30" s="404"/>
      <c r="Q30" s="251"/>
      <c r="R30" s="251"/>
      <c r="S30" s="251"/>
      <c r="T30" s="251"/>
      <c r="U30" s="251"/>
      <c r="V30" s="251"/>
      <c r="W30" s="251"/>
      <c r="X30" s="251"/>
      <c r="Y30" s="251"/>
      <c r="Z30" s="251"/>
      <c r="AA30" s="251"/>
      <c r="AB30" s="251"/>
      <c r="AC30" s="251"/>
      <c r="AD30" s="251"/>
      <c r="AE30" s="251"/>
    </row>
    <row r="31" spans="1:31" ht="16.5" customHeight="1" x14ac:dyDescent="0.2">
      <c r="A31" s="156"/>
      <c r="B31" s="251"/>
      <c r="C31" s="403"/>
      <c r="D31" s="403"/>
      <c r="E31" s="403"/>
      <c r="F31" s="403"/>
      <c r="G31" s="403"/>
      <c r="H31" s="403"/>
      <c r="I31" s="251"/>
      <c r="J31" s="251"/>
      <c r="K31" s="404"/>
      <c r="L31" s="404"/>
      <c r="M31" s="404"/>
      <c r="N31" s="404"/>
      <c r="O31" s="404"/>
      <c r="P31" s="404"/>
      <c r="Q31" s="251"/>
      <c r="R31" s="251"/>
      <c r="S31" s="251"/>
      <c r="T31" s="251"/>
      <c r="U31" s="251"/>
      <c r="V31" s="251"/>
      <c r="W31" s="251"/>
      <c r="X31" s="251"/>
      <c r="Y31" s="251"/>
      <c r="Z31" s="251"/>
      <c r="AA31" s="251"/>
      <c r="AB31" s="251"/>
      <c r="AC31" s="251"/>
      <c r="AD31" s="251"/>
      <c r="AE31" s="251"/>
    </row>
    <row r="32" spans="1:31" ht="12.75" customHeight="1" x14ac:dyDescent="0.2">
      <c r="A32" s="156"/>
      <c r="B32" s="251"/>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row>
    <row r="33" spans="1:31" x14ac:dyDescent="0.2">
      <c r="A33" s="156"/>
      <c r="B33" s="251"/>
      <c r="C33" s="400" t="s">
        <v>250</v>
      </c>
      <c r="D33" s="400"/>
      <c r="E33" s="400"/>
      <c r="F33" s="400"/>
      <c r="G33" s="400"/>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row>
    <row r="34" spans="1:31" x14ac:dyDescent="0.2">
      <c r="A34" s="156"/>
      <c r="B34" s="251"/>
      <c r="C34" s="400"/>
      <c r="D34" s="400"/>
      <c r="E34" s="400"/>
      <c r="F34" s="400"/>
      <c r="G34" s="400"/>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row>
    <row r="35" spans="1:31" ht="21" customHeight="1" x14ac:dyDescent="0.2">
      <c r="A35" s="156"/>
      <c r="B35" s="251"/>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row>
    <row r="36" spans="1:31" ht="12.75" customHeight="1" x14ac:dyDescent="0.2">
      <c r="A36" s="156"/>
      <c r="B36" s="251"/>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row>
    <row r="37" spans="1:31" x14ac:dyDescent="0.2">
      <c r="A37" s="156"/>
      <c r="B37" s="251"/>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row>
    <row r="38" spans="1:31" ht="5.25" customHeight="1" x14ac:dyDescent="0.2">
      <c r="A38" s="156"/>
      <c r="B38" s="251"/>
      <c r="C38" s="261"/>
      <c r="D38" s="261"/>
      <c r="E38" s="261"/>
      <c r="F38" s="261"/>
      <c r="G38" s="261"/>
      <c r="H38" s="261"/>
      <c r="I38" s="261"/>
      <c r="J38" s="119"/>
      <c r="K38" s="251"/>
      <c r="L38" s="251"/>
      <c r="M38" s="251"/>
      <c r="N38" s="251"/>
      <c r="O38" s="251"/>
      <c r="P38" s="251"/>
      <c r="Q38" s="251"/>
      <c r="R38" s="251"/>
      <c r="S38" s="251"/>
      <c r="T38" s="251"/>
      <c r="U38" s="251"/>
      <c r="V38" s="251"/>
      <c r="W38" s="251"/>
      <c r="X38" s="251"/>
      <c r="Y38" s="251"/>
      <c r="Z38" s="251"/>
      <c r="AA38" s="251"/>
      <c r="AB38" s="251"/>
      <c r="AC38" s="251"/>
      <c r="AD38" s="251"/>
      <c r="AE38" s="251"/>
    </row>
    <row r="39" spans="1:31" ht="12.75" customHeight="1" x14ac:dyDescent="0.2">
      <c r="A39" s="156"/>
      <c r="B39" s="251"/>
      <c r="C39" s="402"/>
      <c r="D39" s="402"/>
      <c r="E39" s="402"/>
      <c r="F39" s="402"/>
      <c r="G39" s="402"/>
      <c r="H39" s="402"/>
      <c r="I39" s="402"/>
      <c r="J39" s="402"/>
      <c r="K39" s="251"/>
      <c r="L39" s="251"/>
      <c r="M39" s="251"/>
      <c r="N39" s="251"/>
      <c r="O39" s="251"/>
      <c r="P39" s="251"/>
      <c r="Q39" s="251"/>
      <c r="R39" s="251"/>
      <c r="S39" s="251"/>
      <c r="T39" s="251"/>
      <c r="U39" s="251"/>
      <c r="V39" s="251"/>
      <c r="W39" s="251"/>
      <c r="X39" s="251"/>
      <c r="Y39" s="251"/>
      <c r="Z39" s="251"/>
      <c r="AA39" s="251"/>
      <c r="AB39" s="251"/>
      <c r="AC39" s="251"/>
      <c r="AD39" s="251"/>
      <c r="AE39" s="251"/>
    </row>
    <row r="40" spans="1:31" ht="12.75" customHeight="1" x14ac:dyDescent="0.2">
      <c r="A40" s="156"/>
      <c r="B40" s="251"/>
      <c r="C40" s="402"/>
      <c r="D40" s="402"/>
      <c r="E40" s="402"/>
      <c r="F40" s="402"/>
      <c r="G40" s="402"/>
      <c r="H40" s="402"/>
      <c r="I40" s="402"/>
      <c r="J40" s="402"/>
      <c r="K40" s="251"/>
      <c r="L40" s="251"/>
      <c r="M40" s="251"/>
      <c r="N40" s="251"/>
      <c r="O40" s="251"/>
      <c r="P40" s="251"/>
      <c r="Q40" s="251"/>
      <c r="R40" s="251"/>
      <c r="S40" s="251"/>
      <c r="T40" s="251"/>
      <c r="U40" s="251"/>
      <c r="V40" s="251"/>
      <c r="W40" s="251"/>
      <c r="X40" s="251"/>
      <c r="Y40" s="251"/>
      <c r="Z40" s="251"/>
      <c r="AA40" s="251"/>
      <c r="AB40" s="251"/>
      <c r="AC40" s="251"/>
      <c r="AD40" s="251"/>
      <c r="AE40" s="251"/>
    </row>
    <row r="41" spans="1:31" ht="12.75" customHeight="1" x14ac:dyDescent="0.2">
      <c r="A41" s="156"/>
      <c r="B41" s="251"/>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row>
    <row r="42" spans="1:31" x14ac:dyDescent="0.2">
      <c r="A42" s="156"/>
      <c r="B42" s="251"/>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row>
    <row r="43" spans="1:31" x14ac:dyDescent="0.2">
      <c r="A43" s="156"/>
      <c r="B43" s="251"/>
      <c r="C43" s="212" t="s">
        <v>211</v>
      </c>
      <c r="D43" s="251"/>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row>
    <row r="44" spans="1:31" x14ac:dyDescent="0.2">
      <c r="A44" s="156"/>
      <c r="B44" s="251"/>
      <c r="C44" s="212" t="s">
        <v>212</v>
      </c>
      <c r="D44" s="251"/>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row>
    <row r="45" spans="1:31" x14ac:dyDescent="0.2">
      <c r="A45" s="156"/>
      <c r="B45" s="251"/>
      <c r="C45" s="212" t="s">
        <v>213</v>
      </c>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row>
    <row r="46" spans="1:31" x14ac:dyDescent="0.2">
      <c r="A46" s="156"/>
      <c r="B46" s="251"/>
      <c r="C46" s="212" t="s">
        <v>244</v>
      </c>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row>
    <row r="47" spans="1:31" x14ac:dyDescent="0.2">
      <c r="A47" s="156"/>
      <c r="B47" s="251"/>
      <c r="C47" s="251"/>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row>
    <row r="48" spans="1:31" x14ac:dyDescent="0.2">
      <c r="A48" s="156"/>
      <c r="B48" s="251"/>
      <c r="C48" s="251"/>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row>
    <row r="49" spans="1:31" x14ac:dyDescent="0.2">
      <c r="A49" s="156"/>
      <c r="B49" s="251"/>
      <c r="C49" s="251"/>
      <c r="D49" s="251"/>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row>
    <row r="50" spans="1:31" x14ac:dyDescent="0.2">
      <c r="A50" s="156"/>
      <c r="B50" s="251"/>
      <c r="C50" s="251"/>
      <c r="D50" s="251"/>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row>
    <row r="51" spans="1:31" x14ac:dyDescent="0.2">
      <c r="A51" s="156"/>
      <c r="B51" s="251"/>
      <c r="C51" s="251"/>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row>
    <row r="52" spans="1:31" x14ac:dyDescent="0.2">
      <c r="A52" s="156"/>
      <c r="B52" s="251"/>
      <c r="C52" s="251"/>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row>
    <row r="53" spans="1:31" x14ac:dyDescent="0.2">
      <c r="A53" s="156"/>
      <c r="B53" s="251"/>
      <c r="C53" s="251"/>
      <c r="D53" s="251"/>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row>
    <row r="54" spans="1:31" x14ac:dyDescent="0.2">
      <c r="A54" s="156"/>
      <c r="B54" s="251"/>
      <c r="C54" s="251"/>
      <c r="D54" s="251"/>
      <c r="E54" s="251"/>
      <c r="F54" s="251"/>
      <c r="G54" s="251"/>
      <c r="H54" s="251"/>
      <c r="I54" s="251"/>
      <c r="J54" s="251"/>
      <c r="K54" s="251"/>
      <c r="L54" s="251"/>
      <c r="M54" s="251"/>
      <c r="N54" s="251"/>
      <c r="O54" s="251"/>
      <c r="P54" s="251"/>
      <c r="Q54" s="251"/>
      <c r="R54" s="251"/>
      <c r="S54" s="251"/>
      <c r="T54" s="251"/>
      <c r="U54" s="251"/>
      <c r="V54" s="251"/>
      <c r="W54" s="251"/>
      <c r="X54" s="251"/>
      <c r="Y54" s="251"/>
      <c r="Z54" s="251"/>
      <c r="AA54" s="251"/>
      <c r="AB54" s="251"/>
      <c r="AC54" s="251"/>
      <c r="AD54" s="251"/>
      <c r="AE54" s="251"/>
    </row>
    <row r="55" spans="1:31" x14ac:dyDescent="0.2">
      <c r="A55" s="156"/>
      <c r="B55" s="251"/>
      <c r="C55" s="251"/>
      <c r="D55" s="251"/>
      <c r="E55" s="251"/>
      <c r="F55" s="251"/>
      <c r="G55" s="251"/>
      <c r="H55" s="251"/>
      <c r="I55" s="251"/>
      <c r="J55" s="251"/>
      <c r="K55" s="251"/>
      <c r="L55" s="251"/>
      <c r="M55" s="251"/>
      <c r="N55" s="251"/>
      <c r="O55" s="251"/>
      <c r="P55" s="251"/>
      <c r="Q55" s="251"/>
      <c r="R55" s="251"/>
      <c r="S55" s="251"/>
      <c r="T55" s="251"/>
      <c r="U55" s="251"/>
      <c r="V55" s="251"/>
      <c r="W55" s="251"/>
      <c r="X55" s="251"/>
      <c r="Y55" s="251"/>
      <c r="Z55" s="251"/>
      <c r="AA55" s="251"/>
      <c r="AB55" s="251"/>
      <c r="AC55" s="251"/>
      <c r="AD55" s="251"/>
      <c r="AE55" s="251"/>
    </row>
    <row r="56" spans="1:31" x14ac:dyDescent="0.2">
      <c r="A56" s="156"/>
      <c r="B56" s="251"/>
      <c r="C56" s="251"/>
      <c r="D56" s="251"/>
      <c r="E56" s="251"/>
      <c r="F56" s="251"/>
      <c r="G56" s="251"/>
      <c r="H56" s="251"/>
      <c r="I56" s="251"/>
      <c r="J56" s="251"/>
      <c r="K56" s="251"/>
      <c r="L56" s="251"/>
      <c r="M56" s="251"/>
      <c r="N56" s="251"/>
      <c r="O56" s="251"/>
      <c r="P56" s="251"/>
      <c r="Q56" s="251"/>
      <c r="R56" s="251"/>
      <c r="S56" s="251"/>
      <c r="T56" s="251"/>
      <c r="U56" s="251"/>
      <c r="V56" s="251"/>
      <c r="W56" s="251"/>
      <c r="X56" s="251"/>
      <c r="Y56" s="251"/>
      <c r="Z56" s="251"/>
      <c r="AA56" s="251"/>
      <c r="AB56" s="251"/>
      <c r="AC56" s="251"/>
      <c r="AD56" s="251"/>
      <c r="AE56" s="251"/>
    </row>
    <row r="57" spans="1:31" x14ac:dyDescent="0.2">
      <c r="A57" s="156"/>
      <c r="B57" s="251"/>
      <c r="C57" s="251"/>
      <c r="D57" s="251"/>
      <c r="E57" s="251"/>
      <c r="F57" s="251"/>
      <c r="G57" s="251"/>
      <c r="H57" s="251"/>
      <c r="I57" s="251"/>
      <c r="J57" s="251"/>
      <c r="K57" s="251"/>
      <c r="L57" s="251"/>
      <c r="M57" s="251"/>
      <c r="N57" s="251"/>
      <c r="O57" s="251"/>
      <c r="P57" s="251"/>
      <c r="Q57" s="251"/>
      <c r="R57" s="251"/>
      <c r="S57" s="251"/>
      <c r="T57" s="251"/>
      <c r="U57" s="251"/>
      <c r="V57" s="251"/>
      <c r="W57" s="251"/>
      <c r="X57" s="251"/>
      <c r="Y57" s="251"/>
      <c r="Z57" s="251"/>
      <c r="AA57" s="251"/>
      <c r="AB57" s="251"/>
      <c r="AC57" s="251"/>
      <c r="AD57" s="251"/>
      <c r="AE57" s="251"/>
    </row>
    <row r="58" spans="1:31" x14ac:dyDescent="0.2">
      <c r="A58" s="156"/>
      <c r="B58" s="251"/>
      <c r="C58" s="251"/>
      <c r="D58" s="251"/>
      <c r="E58" s="251"/>
      <c r="F58" s="251"/>
      <c r="G58" s="251"/>
      <c r="H58" s="251"/>
      <c r="I58" s="251"/>
      <c r="J58" s="251"/>
      <c r="K58" s="251"/>
      <c r="L58" s="251"/>
      <c r="M58" s="251"/>
      <c r="N58" s="251"/>
      <c r="O58" s="251"/>
      <c r="P58" s="251"/>
      <c r="Q58" s="251"/>
      <c r="R58" s="251"/>
      <c r="S58" s="251"/>
      <c r="T58" s="251"/>
      <c r="U58" s="251"/>
      <c r="V58" s="251"/>
      <c r="W58" s="251"/>
      <c r="X58" s="251"/>
      <c r="Y58" s="251"/>
      <c r="Z58" s="251"/>
      <c r="AA58" s="251"/>
      <c r="AB58" s="251"/>
      <c r="AC58" s="251"/>
      <c r="AD58" s="251"/>
      <c r="AE58" s="251"/>
    </row>
    <row r="59" spans="1:31" x14ac:dyDescent="0.2">
      <c r="A59" s="156"/>
      <c r="B59" s="251"/>
      <c r="C59" s="251"/>
      <c r="D59" s="251"/>
      <c r="E59" s="251"/>
      <c r="F59" s="251"/>
      <c r="G59" s="251"/>
      <c r="H59" s="251"/>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row>
    <row r="60" spans="1:31" x14ac:dyDescent="0.2">
      <c r="A60" s="156"/>
      <c r="B60" s="251"/>
      <c r="C60" s="251"/>
      <c r="D60" s="251"/>
      <c r="E60" s="251"/>
      <c r="F60" s="251"/>
      <c r="G60" s="251"/>
      <c r="H60" s="251"/>
      <c r="I60" s="251"/>
      <c r="J60" s="251"/>
      <c r="K60" s="251"/>
      <c r="L60" s="251"/>
      <c r="M60" s="251"/>
      <c r="N60" s="251"/>
      <c r="O60" s="251"/>
      <c r="P60" s="251"/>
      <c r="Q60" s="251"/>
      <c r="R60" s="251"/>
      <c r="S60" s="251"/>
      <c r="T60" s="251"/>
      <c r="U60" s="251"/>
      <c r="V60" s="251"/>
      <c r="W60" s="251"/>
      <c r="X60" s="251"/>
      <c r="Y60" s="251"/>
      <c r="Z60" s="251"/>
      <c r="AA60" s="251"/>
      <c r="AB60" s="251"/>
      <c r="AC60" s="251"/>
      <c r="AD60" s="251"/>
      <c r="AE60" s="251"/>
    </row>
    <row r="61" spans="1:31" x14ac:dyDescent="0.2">
      <c r="A61" s="156"/>
      <c r="B61" s="251"/>
      <c r="C61" s="251"/>
      <c r="D61" s="251"/>
      <c r="E61" s="251"/>
      <c r="F61" s="251"/>
      <c r="G61" s="251"/>
      <c r="H61" s="251"/>
      <c r="I61" s="251"/>
      <c r="J61" s="251"/>
      <c r="K61" s="251"/>
      <c r="L61" s="251"/>
      <c r="M61" s="251"/>
      <c r="N61" s="251"/>
      <c r="O61" s="251"/>
      <c r="P61" s="251"/>
      <c r="Q61" s="251"/>
      <c r="R61" s="251"/>
      <c r="S61" s="251"/>
      <c r="T61" s="251"/>
      <c r="U61" s="251"/>
      <c r="V61" s="251"/>
      <c r="W61" s="251"/>
      <c r="X61" s="251"/>
      <c r="Y61" s="251"/>
      <c r="Z61" s="251"/>
      <c r="AA61" s="251"/>
      <c r="AB61" s="251"/>
      <c r="AC61" s="251"/>
      <c r="AD61" s="251"/>
      <c r="AE61" s="251"/>
    </row>
    <row r="62" spans="1:31" x14ac:dyDescent="0.2">
      <c r="A62" s="156"/>
      <c r="B62" s="251"/>
      <c r="C62" s="251"/>
      <c r="D62" s="251"/>
      <c r="E62" s="251"/>
      <c r="F62" s="251"/>
      <c r="G62" s="251"/>
      <c r="H62" s="251"/>
      <c r="I62" s="251"/>
      <c r="J62" s="251"/>
      <c r="K62" s="251"/>
      <c r="L62" s="251"/>
      <c r="M62" s="251"/>
      <c r="N62" s="251"/>
      <c r="O62" s="251"/>
      <c r="P62" s="251"/>
      <c r="Q62" s="251"/>
      <c r="R62" s="251"/>
      <c r="S62" s="251"/>
      <c r="T62" s="251"/>
      <c r="U62" s="251"/>
      <c r="V62" s="251"/>
      <c r="W62" s="251"/>
      <c r="X62" s="251"/>
      <c r="Y62" s="251"/>
      <c r="Z62" s="251"/>
      <c r="AA62" s="251"/>
      <c r="AB62" s="251"/>
      <c r="AC62" s="251"/>
      <c r="AD62" s="251"/>
      <c r="AE62" s="251"/>
    </row>
    <row r="63" spans="1:31" x14ac:dyDescent="0.2">
      <c r="A63" s="156"/>
      <c r="B63" s="251"/>
      <c r="C63" s="251"/>
      <c r="D63" s="251"/>
      <c r="E63" s="251"/>
      <c r="F63" s="251"/>
      <c r="G63" s="251"/>
      <c r="H63" s="251"/>
      <c r="I63" s="251"/>
      <c r="J63" s="251"/>
      <c r="K63" s="251"/>
      <c r="L63" s="251"/>
      <c r="M63" s="251"/>
      <c r="N63" s="251"/>
      <c r="O63" s="251"/>
      <c r="P63" s="251"/>
      <c r="Q63" s="251"/>
      <c r="R63" s="251"/>
      <c r="S63" s="251"/>
      <c r="T63" s="251"/>
      <c r="U63" s="251"/>
      <c r="V63" s="251"/>
      <c r="W63" s="251"/>
      <c r="X63" s="251"/>
      <c r="Y63" s="251"/>
      <c r="Z63" s="251"/>
      <c r="AA63" s="251"/>
      <c r="AB63" s="251"/>
      <c r="AC63" s="251"/>
      <c r="AD63" s="251"/>
      <c r="AE63" s="251"/>
    </row>
    <row r="64" spans="1:31" ht="15" x14ac:dyDescent="0.2">
      <c r="A64" s="156"/>
      <c r="B64" s="251"/>
      <c r="C64" s="245" t="s">
        <v>173</v>
      </c>
      <c r="D64" s="227"/>
      <c r="E64" s="251"/>
      <c r="F64" s="251"/>
      <c r="G64" s="251"/>
      <c r="H64" s="251"/>
      <c r="I64" s="251"/>
      <c r="J64" s="251"/>
      <c r="K64" s="251"/>
      <c r="L64" s="251"/>
      <c r="M64" s="251"/>
      <c r="N64" s="251"/>
      <c r="O64" s="251"/>
      <c r="P64" s="251"/>
      <c r="Q64" s="251"/>
      <c r="R64" s="251"/>
      <c r="S64" s="251"/>
      <c r="T64" s="251"/>
      <c r="U64" s="251"/>
      <c r="V64" s="251"/>
      <c r="W64" s="251"/>
      <c r="X64" s="251"/>
      <c r="Y64" s="251"/>
      <c r="Z64" s="251"/>
      <c r="AA64" s="251"/>
      <c r="AB64" s="251"/>
      <c r="AC64" s="251"/>
      <c r="AD64" s="251"/>
      <c r="AE64" s="251"/>
    </row>
    <row r="65" spans="1:31" ht="14.25" x14ac:dyDescent="0.2">
      <c r="A65" s="156"/>
      <c r="B65" s="251"/>
      <c r="C65" s="16" t="s">
        <v>147</v>
      </c>
      <c r="D65" s="16"/>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51"/>
      <c r="AE65" s="251"/>
    </row>
    <row r="66" spans="1:31" ht="14.25" x14ac:dyDescent="0.2">
      <c r="A66" s="156"/>
      <c r="B66" s="251"/>
      <c r="C66" s="16" t="s">
        <v>148</v>
      </c>
      <c r="D66" s="16"/>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row>
    <row r="67" spans="1:31" ht="14.25" x14ac:dyDescent="0.2">
      <c r="A67" s="156"/>
      <c r="B67" s="251"/>
      <c r="C67" s="16" t="s">
        <v>149</v>
      </c>
      <c r="D67" s="16"/>
      <c r="E67" s="251"/>
      <c r="F67" s="251"/>
      <c r="G67" s="251"/>
      <c r="H67" s="251"/>
      <c r="I67" s="251"/>
      <c r="J67" s="251"/>
      <c r="K67" s="251"/>
      <c r="L67" s="251"/>
      <c r="M67" s="251"/>
      <c r="N67" s="251"/>
      <c r="O67" s="251"/>
      <c r="P67" s="251"/>
      <c r="Q67" s="251"/>
      <c r="R67" s="251"/>
      <c r="S67" s="251"/>
      <c r="T67" s="251"/>
      <c r="U67" s="251"/>
      <c r="V67" s="251"/>
      <c r="W67" s="251"/>
      <c r="X67" s="251"/>
      <c r="Y67" s="251"/>
      <c r="Z67" s="251"/>
      <c r="AA67" s="251"/>
      <c r="AB67" s="251"/>
      <c r="AC67" s="251"/>
      <c r="AD67" s="251"/>
      <c r="AE67" s="251"/>
    </row>
    <row r="68" spans="1:31" ht="14.25" x14ac:dyDescent="0.2">
      <c r="A68" s="156"/>
      <c r="B68" s="251"/>
      <c r="C68" s="16"/>
      <c r="D68" s="16"/>
      <c r="E68" s="251"/>
      <c r="F68" s="251"/>
      <c r="G68" s="251"/>
      <c r="H68" s="251"/>
      <c r="I68" s="251"/>
      <c r="J68" s="251"/>
      <c r="K68" s="251"/>
      <c r="L68" s="251"/>
      <c r="M68" s="251"/>
      <c r="N68" s="251"/>
      <c r="O68" s="251"/>
      <c r="P68" s="251"/>
      <c r="Q68" s="251"/>
      <c r="R68" s="251"/>
      <c r="S68" s="251"/>
      <c r="T68" s="251"/>
      <c r="U68" s="251"/>
      <c r="V68" s="251"/>
      <c r="W68" s="251"/>
      <c r="X68" s="251"/>
      <c r="Y68" s="251"/>
      <c r="Z68" s="251"/>
      <c r="AA68" s="251"/>
      <c r="AB68" s="251"/>
      <c r="AC68" s="251"/>
      <c r="AD68" s="251"/>
      <c r="AE68" s="251"/>
    </row>
    <row r="69" spans="1:31" x14ac:dyDescent="0.2">
      <c r="A69" s="156"/>
      <c r="B69" s="251"/>
      <c r="C69" s="226"/>
      <c r="D69" s="227"/>
      <c r="E69" s="251"/>
      <c r="F69" s="251"/>
      <c r="G69" s="251"/>
      <c r="H69" s="251"/>
      <c r="I69" s="251"/>
      <c r="J69" s="251"/>
      <c r="K69" s="251"/>
      <c r="L69" s="251"/>
      <c r="M69" s="251"/>
      <c r="N69" s="251"/>
      <c r="O69" s="251"/>
      <c r="P69" s="251"/>
      <c r="Q69" s="251"/>
      <c r="R69" s="251"/>
      <c r="S69" s="251"/>
      <c r="T69" s="251"/>
      <c r="U69" s="251"/>
      <c r="V69" s="251"/>
      <c r="W69" s="251"/>
      <c r="X69" s="251"/>
      <c r="Y69" s="251"/>
      <c r="Z69" s="251"/>
      <c r="AA69" s="251"/>
      <c r="AB69" s="251"/>
      <c r="AC69" s="251"/>
      <c r="AD69" s="251"/>
      <c r="AE69" s="251"/>
    </row>
    <row r="70" spans="1:31" x14ac:dyDescent="0.2">
      <c r="A70" s="156"/>
      <c r="B70" s="251"/>
      <c r="C70" s="251"/>
      <c r="D70" s="251"/>
      <c r="E70" s="251"/>
      <c r="F70" s="251"/>
      <c r="G70" s="251"/>
      <c r="H70" s="251"/>
      <c r="I70" s="251"/>
      <c r="J70" s="251"/>
      <c r="K70" s="251"/>
      <c r="L70" s="251"/>
      <c r="M70" s="251"/>
      <c r="N70" s="251"/>
      <c r="O70" s="251"/>
      <c r="P70" s="251"/>
      <c r="Q70" s="251"/>
      <c r="R70" s="251"/>
      <c r="S70" s="251"/>
      <c r="T70" s="251"/>
      <c r="U70" s="251"/>
      <c r="V70" s="251"/>
      <c r="W70" s="251"/>
      <c r="X70" s="251"/>
      <c r="Y70" s="251"/>
      <c r="Z70" s="251"/>
      <c r="AA70" s="251"/>
      <c r="AB70" s="251"/>
      <c r="AC70" s="251"/>
      <c r="AD70" s="251"/>
      <c r="AE70" s="251"/>
    </row>
    <row r="71" spans="1:31" x14ac:dyDescent="0.2">
      <c r="A71" s="156"/>
      <c r="B71" s="251"/>
      <c r="C71" s="251"/>
      <c r="D71" s="251"/>
      <c r="E71" s="251"/>
      <c r="F71" s="251"/>
      <c r="G71" s="251"/>
      <c r="H71" s="251"/>
      <c r="I71" s="251"/>
      <c r="J71" s="251"/>
      <c r="K71" s="251"/>
      <c r="L71" s="251"/>
      <c r="M71" s="251"/>
      <c r="N71" s="251"/>
      <c r="O71" s="251"/>
      <c r="P71" s="251"/>
      <c r="Q71" s="251"/>
      <c r="R71" s="251"/>
      <c r="S71" s="251"/>
      <c r="T71" s="251"/>
      <c r="U71" s="251"/>
      <c r="V71" s="251"/>
      <c r="W71" s="251"/>
      <c r="X71" s="251"/>
      <c r="Y71" s="251"/>
      <c r="Z71" s="251"/>
      <c r="AA71" s="251"/>
      <c r="AB71" s="251"/>
      <c r="AC71" s="251"/>
      <c r="AD71" s="251"/>
      <c r="AE71" s="251"/>
    </row>
    <row r="72" spans="1:31" x14ac:dyDescent="0.2">
      <c r="A72" s="156"/>
      <c r="B72" s="251"/>
      <c r="C72" s="251"/>
      <c r="D72" s="251"/>
      <c r="E72" s="251"/>
      <c r="F72" s="251"/>
      <c r="G72" s="251"/>
      <c r="H72" s="251"/>
      <c r="I72" s="251"/>
      <c r="J72" s="251"/>
      <c r="K72" s="251"/>
      <c r="L72" s="251"/>
      <c r="M72" s="251"/>
      <c r="N72" s="251"/>
      <c r="O72" s="251"/>
      <c r="P72" s="251"/>
      <c r="Q72" s="251"/>
      <c r="R72" s="251"/>
      <c r="S72" s="251"/>
      <c r="T72" s="251"/>
      <c r="U72" s="251"/>
      <c r="V72" s="251"/>
      <c r="W72" s="251"/>
      <c r="X72" s="251"/>
      <c r="Y72" s="251"/>
      <c r="Z72" s="251"/>
      <c r="AA72" s="251"/>
      <c r="AB72" s="251"/>
      <c r="AC72" s="251"/>
      <c r="AD72" s="251"/>
      <c r="AE72" s="251"/>
    </row>
    <row r="73" spans="1:31" x14ac:dyDescent="0.2">
      <c r="A73" s="156"/>
      <c r="B73" s="251"/>
      <c r="C73" s="251"/>
      <c r="D73" s="251"/>
      <c r="E73" s="251"/>
      <c r="F73" s="251"/>
      <c r="G73" s="251"/>
      <c r="H73" s="251"/>
      <c r="I73" s="251"/>
      <c r="J73" s="251"/>
      <c r="K73" s="251"/>
      <c r="L73" s="251"/>
      <c r="M73" s="251"/>
      <c r="N73" s="251"/>
      <c r="O73" s="251"/>
      <c r="P73" s="251"/>
      <c r="Q73" s="251"/>
      <c r="R73" s="251"/>
      <c r="S73" s="251"/>
      <c r="T73" s="251"/>
      <c r="U73" s="251"/>
      <c r="V73" s="251"/>
      <c r="W73" s="251"/>
      <c r="X73" s="251"/>
      <c r="Y73" s="251"/>
      <c r="Z73" s="251"/>
      <c r="AA73" s="251"/>
      <c r="AB73" s="251"/>
      <c r="AC73" s="251"/>
      <c r="AD73" s="251"/>
      <c r="AE73" s="251"/>
    </row>
    <row r="74" spans="1:31" x14ac:dyDescent="0.2">
      <c r="A74" s="156"/>
      <c r="B74" s="251"/>
      <c r="C74" s="251"/>
      <c r="D74" s="251"/>
      <c r="E74" s="251"/>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1"/>
    </row>
    <row r="75" spans="1:31" x14ac:dyDescent="0.2">
      <c r="A75" s="156"/>
      <c r="B75" s="251"/>
      <c r="C75" s="251"/>
      <c r="D75" s="251"/>
      <c r="E75" s="251"/>
      <c r="F75" s="251"/>
      <c r="G75" s="251"/>
      <c r="H75" s="251"/>
      <c r="I75" s="251"/>
      <c r="J75" s="251"/>
      <c r="K75" s="251"/>
      <c r="L75" s="251"/>
      <c r="M75" s="251"/>
      <c r="N75" s="251"/>
      <c r="O75" s="251"/>
      <c r="P75" s="251"/>
      <c r="Q75" s="251"/>
      <c r="R75" s="251"/>
      <c r="S75" s="251"/>
      <c r="T75" s="251"/>
      <c r="U75" s="251"/>
      <c r="V75" s="251"/>
      <c r="W75" s="251"/>
      <c r="X75" s="251"/>
      <c r="Y75" s="251"/>
      <c r="Z75" s="251"/>
      <c r="AA75" s="251"/>
      <c r="AB75" s="251"/>
      <c r="AC75" s="251"/>
      <c r="AD75" s="251"/>
      <c r="AE75" s="251"/>
    </row>
    <row r="76" spans="1:31" x14ac:dyDescent="0.2">
      <c r="A76" s="156"/>
      <c r="B76" s="251"/>
      <c r="C76" s="251"/>
      <c r="D76" s="251"/>
      <c r="E76" s="251"/>
      <c r="F76" s="251"/>
      <c r="G76" s="251"/>
      <c r="H76" s="251"/>
      <c r="I76" s="251"/>
      <c r="J76" s="251"/>
      <c r="K76" s="251"/>
      <c r="L76" s="251"/>
      <c r="M76" s="251"/>
      <c r="N76" s="251"/>
      <c r="O76" s="251"/>
      <c r="P76" s="251"/>
      <c r="Q76" s="251"/>
      <c r="R76" s="251"/>
      <c r="S76" s="251"/>
      <c r="T76" s="251"/>
      <c r="U76" s="251"/>
      <c r="V76" s="251"/>
      <c r="W76" s="251"/>
      <c r="X76" s="251"/>
      <c r="Y76" s="251"/>
      <c r="Z76" s="251"/>
      <c r="AA76" s="251"/>
      <c r="AB76" s="251"/>
      <c r="AC76" s="251"/>
      <c r="AD76" s="251"/>
      <c r="AE76" s="251"/>
    </row>
    <row r="77" spans="1:31" x14ac:dyDescent="0.2">
      <c r="B77" s="251"/>
      <c r="C77" s="251"/>
      <c r="D77" s="251"/>
      <c r="E77" s="251"/>
      <c r="F77" s="251"/>
      <c r="G77" s="251"/>
      <c r="H77" s="251"/>
      <c r="I77" s="251"/>
      <c r="J77" s="251"/>
      <c r="K77" s="251"/>
      <c r="L77" s="251"/>
      <c r="M77" s="251"/>
      <c r="N77" s="251"/>
      <c r="O77" s="251"/>
      <c r="P77" s="251"/>
      <c r="Q77" s="251"/>
      <c r="R77" s="251"/>
      <c r="S77" s="251"/>
      <c r="T77" s="251"/>
      <c r="U77" s="251"/>
      <c r="V77" s="251"/>
      <c r="W77" s="251"/>
      <c r="X77" s="251"/>
      <c r="Y77" s="251"/>
      <c r="Z77" s="251"/>
      <c r="AA77" s="251"/>
      <c r="AB77" s="251"/>
      <c r="AC77" s="251"/>
      <c r="AD77" s="251"/>
      <c r="AE77" s="251"/>
    </row>
    <row r="78" spans="1:31" x14ac:dyDescent="0.2">
      <c r="B78" s="251"/>
      <c r="C78" s="251"/>
      <c r="D78" s="251"/>
      <c r="E78" s="251"/>
      <c r="F78" s="251"/>
      <c r="G78" s="251"/>
      <c r="H78" s="251"/>
      <c r="I78" s="251"/>
      <c r="J78" s="251"/>
      <c r="K78" s="251"/>
      <c r="L78" s="251"/>
      <c r="M78" s="251"/>
      <c r="N78" s="251"/>
      <c r="O78" s="251"/>
      <c r="P78" s="251"/>
      <c r="Q78" s="251"/>
      <c r="R78" s="251"/>
      <c r="S78" s="251"/>
      <c r="T78" s="251"/>
      <c r="U78" s="251"/>
      <c r="V78" s="251"/>
      <c r="W78" s="251"/>
      <c r="X78" s="251"/>
      <c r="Y78" s="251"/>
      <c r="Z78" s="251"/>
      <c r="AA78" s="251"/>
      <c r="AB78" s="251"/>
      <c r="AC78" s="251"/>
      <c r="AD78" s="251"/>
      <c r="AE78" s="251"/>
    </row>
    <row r="79" spans="1:31" x14ac:dyDescent="0.2">
      <c r="B79" s="251"/>
      <c r="C79" s="251"/>
      <c r="D79" s="251"/>
      <c r="E79" s="251"/>
      <c r="F79" s="251"/>
      <c r="G79" s="251"/>
      <c r="H79" s="251"/>
      <c r="I79" s="251"/>
      <c r="J79" s="251"/>
      <c r="K79" s="251"/>
      <c r="L79" s="251"/>
      <c r="M79" s="251"/>
      <c r="N79" s="251"/>
      <c r="O79" s="251"/>
      <c r="P79" s="251"/>
      <c r="Q79" s="251"/>
      <c r="R79" s="251"/>
      <c r="S79" s="251"/>
      <c r="T79" s="251"/>
      <c r="U79" s="251"/>
      <c r="V79" s="251"/>
      <c r="W79" s="251"/>
      <c r="X79" s="251"/>
      <c r="Y79" s="251"/>
      <c r="Z79" s="251"/>
      <c r="AA79" s="251"/>
      <c r="AB79" s="251"/>
      <c r="AC79" s="251"/>
      <c r="AD79" s="251"/>
      <c r="AE79" s="251"/>
    </row>
    <row r="80" spans="1:31" x14ac:dyDescent="0.2">
      <c r="B80" s="251"/>
      <c r="C80" s="251"/>
      <c r="D80" s="251"/>
      <c r="E80" s="251"/>
      <c r="F80" s="251"/>
      <c r="G80" s="251"/>
      <c r="H80" s="251"/>
      <c r="I80" s="251"/>
      <c r="J80" s="251"/>
      <c r="K80" s="251"/>
      <c r="L80" s="251"/>
      <c r="M80" s="251"/>
      <c r="N80" s="251"/>
      <c r="O80" s="251"/>
      <c r="P80" s="251"/>
      <c r="Q80" s="251"/>
      <c r="R80" s="251"/>
      <c r="S80" s="251"/>
      <c r="T80" s="251"/>
      <c r="U80" s="251"/>
      <c r="V80" s="251"/>
      <c r="W80" s="251"/>
      <c r="X80" s="251"/>
      <c r="Y80" s="251"/>
      <c r="Z80" s="251"/>
      <c r="AA80" s="251"/>
      <c r="AB80" s="251"/>
      <c r="AC80" s="251"/>
      <c r="AD80" s="251"/>
      <c r="AE80" s="251"/>
    </row>
    <row r="81" spans="2:31" x14ac:dyDescent="0.2">
      <c r="B81" s="251"/>
      <c r="C81" s="251"/>
      <c r="D81" s="251"/>
      <c r="E81" s="251"/>
      <c r="F81" s="251"/>
      <c r="G81" s="251"/>
      <c r="H81" s="251"/>
      <c r="I81" s="251"/>
      <c r="J81" s="251"/>
      <c r="K81" s="251"/>
      <c r="L81" s="251"/>
      <c r="M81" s="251"/>
      <c r="N81" s="251"/>
      <c r="O81" s="251"/>
      <c r="P81" s="251"/>
      <c r="Q81" s="251"/>
      <c r="R81" s="251"/>
      <c r="S81" s="251"/>
      <c r="T81" s="251"/>
      <c r="U81" s="251"/>
      <c r="V81" s="251"/>
      <c r="W81" s="251"/>
      <c r="X81" s="251"/>
      <c r="Y81" s="251"/>
      <c r="Z81" s="251"/>
      <c r="AA81" s="251"/>
      <c r="AB81" s="251"/>
      <c r="AC81" s="251"/>
      <c r="AD81" s="251"/>
      <c r="AE81" s="251"/>
    </row>
    <row r="82" spans="2:31" x14ac:dyDescent="0.2">
      <c r="B82" s="251"/>
      <c r="C82" s="251"/>
      <c r="D82" s="251"/>
      <c r="E82" s="251"/>
      <c r="F82" s="251"/>
      <c r="G82" s="251"/>
      <c r="H82" s="251"/>
      <c r="I82" s="251"/>
      <c r="J82" s="251"/>
      <c r="K82" s="251"/>
      <c r="L82" s="251"/>
      <c r="M82" s="251"/>
      <c r="N82" s="251"/>
      <c r="O82" s="251"/>
      <c r="P82" s="251"/>
      <c r="Q82" s="251"/>
      <c r="R82" s="251"/>
      <c r="S82" s="251"/>
      <c r="T82" s="251"/>
      <c r="U82" s="251"/>
      <c r="V82" s="251"/>
      <c r="W82" s="251"/>
      <c r="X82" s="251"/>
      <c r="Y82" s="251"/>
      <c r="Z82" s="251"/>
      <c r="AA82" s="251"/>
      <c r="AB82" s="251"/>
      <c r="AC82" s="251"/>
      <c r="AD82" s="251"/>
      <c r="AE82" s="251"/>
    </row>
    <row r="83" spans="2:31" x14ac:dyDescent="0.2">
      <c r="B83" s="251"/>
      <c r="C83" s="251"/>
      <c r="D83" s="251"/>
      <c r="E83" s="251"/>
      <c r="F83" s="251"/>
      <c r="G83" s="251"/>
      <c r="H83" s="251"/>
      <c r="I83" s="251"/>
      <c r="J83" s="251"/>
      <c r="K83" s="251"/>
      <c r="L83" s="251"/>
      <c r="M83" s="251"/>
      <c r="N83" s="251"/>
      <c r="O83" s="251"/>
      <c r="P83" s="251"/>
      <c r="Q83" s="251"/>
      <c r="R83" s="251"/>
      <c r="S83" s="251"/>
      <c r="T83" s="251"/>
      <c r="U83" s="251"/>
      <c r="V83" s="251"/>
      <c r="W83" s="251"/>
      <c r="X83" s="251"/>
      <c r="Y83" s="251"/>
      <c r="Z83" s="251"/>
      <c r="AA83" s="251"/>
      <c r="AB83" s="251"/>
      <c r="AC83" s="251"/>
      <c r="AD83" s="251"/>
      <c r="AE83" s="251"/>
    </row>
    <row r="84" spans="2:31" x14ac:dyDescent="0.2">
      <c r="B84" s="251"/>
      <c r="C84" s="251"/>
      <c r="D84" s="251"/>
      <c r="E84" s="251"/>
      <c r="F84" s="251"/>
      <c r="G84" s="251"/>
      <c r="H84" s="251"/>
      <c r="I84" s="251"/>
      <c r="J84" s="251"/>
      <c r="K84" s="251"/>
      <c r="L84" s="251"/>
      <c r="M84" s="251"/>
      <c r="N84" s="251"/>
      <c r="O84" s="251"/>
      <c r="P84" s="251"/>
      <c r="Q84" s="251"/>
      <c r="R84" s="251"/>
      <c r="S84" s="251"/>
      <c r="T84" s="251"/>
      <c r="U84" s="251"/>
      <c r="V84" s="251"/>
      <c r="W84" s="251"/>
      <c r="X84" s="251"/>
      <c r="Y84" s="251"/>
      <c r="Z84" s="251"/>
      <c r="AA84" s="251"/>
      <c r="AB84" s="251"/>
      <c r="AC84" s="251"/>
      <c r="AD84" s="251"/>
      <c r="AE84" s="251"/>
    </row>
    <row r="85" spans="2:31" x14ac:dyDescent="0.2">
      <c r="B85" s="251"/>
      <c r="C85" s="251"/>
      <c r="D85" s="251"/>
      <c r="E85" s="251"/>
      <c r="F85" s="251"/>
      <c r="G85" s="251"/>
      <c r="H85" s="251"/>
      <c r="I85" s="251"/>
      <c r="J85" s="251"/>
      <c r="K85" s="251"/>
      <c r="L85" s="251"/>
      <c r="M85" s="251"/>
      <c r="N85" s="251"/>
      <c r="O85" s="251"/>
      <c r="P85" s="251"/>
      <c r="Q85" s="251"/>
      <c r="R85" s="251"/>
      <c r="S85" s="251"/>
      <c r="T85" s="251"/>
      <c r="U85" s="251"/>
      <c r="V85" s="251"/>
      <c r="W85" s="251"/>
      <c r="X85" s="251"/>
      <c r="Y85" s="251"/>
      <c r="Z85" s="251"/>
      <c r="AA85" s="251"/>
      <c r="AB85" s="251"/>
      <c r="AC85" s="251"/>
      <c r="AD85" s="251"/>
      <c r="AE85" s="251"/>
    </row>
    <row r="86" spans="2:31" x14ac:dyDescent="0.2">
      <c r="B86" s="251"/>
      <c r="C86" s="251"/>
      <c r="D86" s="251"/>
      <c r="E86" s="251"/>
      <c r="F86" s="251"/>
      <c r="G86" s="251"/>
      <c r="H86" s="251"/>
      <c r="I86" s="251"/>
      <c r="J86" s="251"/>
      <c r="K86" s="251"/>
      <c r="L86" s="251"/>
      <c r="M86" s="251"/>
      <c r="N86" s="251"/>
      <c r="O86" s="251"/>
      <c r="P86" s="251"/>
      <c r="Q86" s="251"/>
      <c r="R86" s="251"/>
      <c r="S86" s="251"/>
      <c r="T86" s="251"/>
      <c r="U86" s="251"/>
      <c r="V86" s="251"/>
      <c r="W86" s="251"/>
      <c r="X86" s="251"/>
      <c r="Y86" s="251"/>
      <c r="Z86" s="251"/>
      <c r="AA86" s="251"/>
      <c r="AB86" s="251"/>
      <c r="AC86" s="251"/>
      <c r="AD86" s="251"/>
      <c r="AE86" s="251"/>
    </row>
    <row r="87" spans="2:31" x14ac:dyDescent="0.2">
      <c r="B87" s="251"/>
      <c r="C87" s="251"/>
      <c r="D87" s="251"/>
      <c r="E87" s="251"/>
      <c r="F87" s="251"/>
      <c r="G87" s="251"/>
      <c r="H87" s="251"/>
      <c r="I87" s="251"/>
      <c r="J87" s="251"/>
      <c r="K87" s="251"/>
      <c r="L87" s="251"/>
      <c r="M87" s="251"/>
      <c r="N87" s="251"/>
      <c r="O87" s="251"/>
      <c r="P87" s="251"/>
      <c r="Q87" s="251"/>
      <c r="R87" s="251"/>
      <c r="S87" s="251"/>
      <c r="T87" s="251"/>
      <c r="U87" s="251"/>
      <c r="V87" s="251"/>
      <c r="W87" s="251"/>
      <c r="X87" s="251"/>
      <c r="Y87" s="251"/>
      <c r="Z87" s="251"/>
      <c r="AA87" s="251"/>
      <c r="AB87" s="251"/>
      <c r="AC87" s="251"/>
      <c r="AD87" s="251"/>
      <c r="AE87" s="251"/>
    </row>
    <row r="88" spans="2:31" x14ac:dyDescent="0.2">
      <c r="B88" s="251"/>
      <c r="C88" s="251"/>
      <c r="D88" s="251"/>
      <c r="E88" s="251"/>
      <c r="F88" s="251"/>
      <c r="G88" s="251"/>
      <c r="H88" s="251"/>
      <c r="I88" s="251"/>
      <c r="J88" s="251"/>
      <c r="K88" s="251"/>
      <c r="L88" s="251"/>
      <c r="M88" s="251"/>
      <c r="N88" s="251"/>
      <c r="O88" s="251"/>
      <c r="P88" s="251"/>
      <c r="Q88" s="251"/>
      <c r="R88" s="251"/>
      <c r="S88" s="251"/>
      <c r="T88" s="251"/>
      <c r="U88" s="251"/>
      <c r="V88" s="251"/>
      <c r="W88" s="251"/>
      <c r="X88" s="251"/>
      <c r="Y88" s="251"/>
      <c r="Z88" s="251"/>
      <c r="AA88" s="251"/>
      <c r="AB88" s="251"/>
      <c r="AC88" s="251"/>
      <c r="AD88" s="251"/>
      <c r="AE88" s="251"/>
    </row>
    <row r="89" spans="2:31" x14ac:dyDescent="0.2">
      <c r="B89" s="251"/>
      <c r="C89" s="251"/>
      <c r="D89" s="251"/>
      <c r="E89" s="251"/>
      <c r="F89" s="251"/>
      <c r="G89" s="251"/>
      <c r="H89" s="251"/>
      <c r="I89" s="251"/>
      <c r="J89" s="251"/>
      <c r="K89" s="251"/>
      <c r="L89" s="251"/>
      <c r="M89" s="251"/>
      <c r="N89" s="251"/>
      <c r="O89" s="251"/>
      <c r="P89" s="251"/>
      <c r="Q89" s="251"/>
      <c r="R89" s="251"/>
      <c r="S89" s="251"/>
      <c r="T89" s="251"/>
      <c r="U89" s="251"/>
      <c r="V89" s="251"/>
      <c r="W89" s="251"/>
      <c r="X89" s="251"/>
      <c r="Y89" s="251"/>
      <c r="Z89" s="251"/>
      <c r="AA89" s="251"/>
      <c r="AB89" s="251"/>
      <c r="AC89" s="251"/>
      <c r="AD89" s="251"/>
      <c r="AE89" s="251"/>
    </row>
    <row r="90" spans="2:31" x14ac:dyDescent="0.2">
      <c r="B90" s="251"/>
      <c r="C90" s="251"/>
      <c r="D90" s="251"/>
      <c r="E90" s="251"/>
      <c r="F90" s="251"/>
      <c r="G90" s="251"/>
      <c r="H90" s="251"/>
      <c r="I90" s="251"/>
      <c r="J90" s="251"/>
      <c r="K90" s="251"/>
      <c r="L90" s="251"/>
      <c r="M90" s="251"/>
      <c r="N90" s="251"/>
      <c r="O90" s="251"/>
      <c r="P90" s="251"/>
      <c r="Q90" s="251"/>
      <c r="R90" s="251"/>
      <c r="S90" s="251"/>
      <c r="T90" s="251"/>
      <c r="U90" s="251"/>
      <c r="V90" s="251"/>
      <c r="W90" s="251"/>
      <c r="X90" s="251"/>
      <c r="Y90" s="251"/>
      <c r="Z90" s="251"/>
      <c r="AA90" s="251"/>
      <c r="AB90" s="251"/>
      <c r="AC90" s="251"/>
      <c r="AD90" s="251"/>
      <c r="AE90" s="251"/>
    </row>
    <row r="91" spans="2:31" x14ac:dyDescent="0.2">
      <c r="B91" s="251"/>
      <c r="C91" s="251"/>
      <c r="D91" s="251"/>
      <c r="E91" s="251"/>
      <c r="F91" s="251"/>
      <c r="G91" s="251"/>
      <c r="H91" s="251"/>
      <c r="I91" s="251"/>
      <c r="J91" s="251"/>
      <c r="K91" s="251"/>
      <c r="L91" s="251"/>
      <c r="M91" s="251"/>
      <c r="N91" s="251"/>
      <c r="O91" s="251"/>
      <c r="P91" s="251"/>
      <c r="Q91" s="251"/>
      <c r="R91" s="251"/>
      <c r="S91" s="251"/>
      <c r="T91" s="251"/>
      <c r="U91" s="251"/>
      <c r="V91" s="251"/>
      <c r="W91" s="251"/>
      <c r="X91" s="251"/>
      <c r="Y91" s="251"/>
      <c r="Z91" s="251"/>
      <c r="AA91" s="251"/>
      <c r="AB91" s="251"/>
      <c r="AC91" s="251"/>
      <c r="AD91" s="251"/>
      <c r="AE91" s="251"/>
    </row>
    <row r="92" spans="2:31" x14ac:dyDescent="0.2">
      <c r="B92" s="251"/>
      <c r="C92" s="251"/>
      <c r="D92" s="251"/>
      <c r="E92" s="251"/>
      <c r="F92" s="251"/>
      <c r="G92" s="251"/>
      <c r="H92" s="251"/>
      <c r="I92" s="251"/>
      <c r="J92" s="251"/>
      <c r="K92" s="251"/>
      <c r="L92" s="251"/>
      <c r="M92" s="251"/>
      <c r="N92" s="251"/>
      <c r="O92" s="251"/>
      <c r="P92" s="251"/>
      <c r="Q92" s="251"/>
      <c r="R92" s="251"/>
      <c r="S92" s="251"/>
      <c r="T92" s="251"/>
      <c r="U92" s="251"/>
      <c r="V92" s="251"/>
      <c r="W92" s="251"/>
      <c r="X92" s="251"/>
      <c r="Y92" s="251"/>
      <c r="Z92" s="251"/>
      <c r="AA92" s="251"/>
      <c r="AB92" s="251"/>
      <c r="AC92" s="251"/>
      <c r="AD92" s="251"/>
      <c r="AE92" s="251"/>
    </row>
    <row r="93" spans="2:31" x14ac:dyDescent="0.2">
      <c r="B93" s="251"/>
      <c r="C93" s="251"/>
      <c r="D93" s="251"/>
      <c r="E93" s="251"/>
      <c r="F93" s="251"/>
      <c r="G93" s="251"/>
      <c r="H93" s="251"/>
      <c r="I93" s="251"/>
      <c r="J93" s="251"/>
      <c r="K93" s="251"/>
      <c r="L93" s="251"/>
      <c r="M93" s="251"/>
      <c r="N93" s="251"/>
      <c r="O93" s="251"/>
      <c r="P93" s="251"/>
      <c r="Q93" s="251"/>
      <c r="R93" s="251"/>
      <c r="S93" s="251"/>
      <c r="T93" s="251"/>
      <c r="U93" s="251"/>
      <c r="V93" s="251"/>
      <c r="W93" s="251"/>
      <c r="X93" s="251"/>
      <c r="Y93" s="251"/>
      <c r="Z93" s="251"/>
      <c r="AA93" s="251"/>
      <c r="AB93" s="251"/>
      <c r="AC93" s="251"/>
      <c r="AD93" s="251"/>
      <c r="AE93" s="251"/>
    </row>
    <row r="94" spans="2:31" x14ac:dyDescent="0.2">
      <c r="B94" s="251"/>
      <c r="C94" s="251"/>
      <c r="D94" s="251"/>
      <c r="E94" s="251"/>
      <c r="F94" s="251"/>
      <c r="G94" s="251"/>
      <c r="H94" s="251"/>
      <c r="I94" s="251"/>
      <c r="J94" s="251"/>
      <c r="K94" s="251"/>
      <c r="L94" s="251"/>
      <c r="M94" s="251"/>
      <c r="N94" s="251"/>
      <c r="O94" s="251"/>
      <c r="P94" s="251"/>
      <c r="Q94" s="251"/>
      <c r="R94" s="251"/>
      <c r="S94" s="251"/>
      <c r="T94" s="251"/>
      <c r="U94" s="251"/>
      <c r="V94" s="251"/>
      <c r="W94" s="251"/>
      <c r="X94" s="251"/>
      <c r="Y94" s="251"/>
      <c r="Z94" s="251"/>
      <c r="AA94" s="251"/>
      <c r="AB94" s="251"/>
      <c r="AC94" s="251"/>
      <c r="AD94" s="251"/>
      <c r="AE94" s="251"/>
    </row>
    <row r="95" spans="2:31" x14ac:dyDescent="0.2">
      <c r="B95" s="251"/>
      <c r="C95" s="251"/>
      <c r="D95" s="251"/>
      <c r="E95" s="251"/>
      <c r="F95" s="251"/>
      <c r="G95" s="251"/>
      <c r="H95" s="251"/>
      <c r="I95" s="251"/>
      <c r="J95" s="251"/>
      <c r="K95" s="251"/>
      <c r="L95" s="251"/>
      <c r="M95" s="251"/>
      <c r="N95" s="251"/>
      <c r="O95" s="251"/>
      <c r="P95" s="251"/>
      <c r="Q95" s="251"/>
      <c r="R95" s="251"/>
      <c r="S95" s="251"/>
      <c r="T95" s="251"/>
      <c r="U95" s="251"/>
      <c r="V95" s="251"/>
      <c r="W95" s="251"/>
      <c r="X95" s="251"/>
      <c r="Y95" s="251"/>
      <c r="Z95" s="251"/>
      <c r="AA95" s="251"/>
      <c r="AB95" s="251"/>
      <c r="AC95" s="251"/>
      <c r="AD95" s="251"/>
      <c r="AE95" s="251"/>
    </row>
    <row r="96" spans="2:31" x14ac:dyDescent="0.2">
      <c r="B96" s="251"/>
      <c r="C96" s="251"/>
      <c r="D96" s="251"/>
      <c r="E96" s="251"/>
      <c r="F96" s="251"/>
      <c r="G96" s="251"/>
      <c r="H96" s="251"/>
      <c r="I96" s="251"/>
      <c r="J96" s="251"/>
      <c r="K96" s="251"/>
      <c r="L96" s="251"/>
      <c r="M96" s="251"/>
      <c r="N96" s="251"/>
      <c r="O96" s="251"/>
      <c r="P96" s="251"/>
      <c r="Q96" s="251"/>
      <c r="R96" s="251"/>
      <c r="S96" s="251"/>
      <c r="T96" s="251"/>
      <c r="U96" s="251"/>
      <c r="V96" s="251"/>
      <c r="W96" s="251"/>
      <c r="X96" s="251"/>
      <c r="Y96" s="251"/>
      <c r="Z96" s="251"/>
      <c r="AA96" s="251"/>
      <c r="AB96" s="251"/>
      <c r="AC96" s="251"/>
      <c r="AD96" s="251"/>
      <c r="AE96" s="251"/>
    </row>
    <row r="97" spans="2:31" x14ac:dyDescent="0.2">
      <c r="B97" s="251"/>
      <c r="C97" s="251"/>
      <c r="D97" s="251"/>
      <c r="E97" s="251"/>
      <c r="F97" s="251"/>
      <c r="G97" s="251"/>
      <c r="H97" s="251"/>
      <c r="I97" s="251"/>
      <c r="J97" s="251"/>
      <c r="K97" s="251"/>
      <c r="L97" s="251"/>
      <c r="M97" s="251"/>
      <c r="N97" s="251"/>
      <c r="O97" s="251"/>
      <c r="P97" s="251"/>
      <c r="Q97" s="251"/>
      <c r="R97" s="251"/>
      <c r="S97" s="251"/>
      <c r="T97" s="251"/>
      <c r="U97" s="251"/>
      <c r="V97" s="251"/>
      <c r="W97" s="251"/>
      <c r="X97" s="251"/>
      <c r="Y97" s="251"/>
      <c r="Z97" s="251"/>
      <c r="AA97" s="251"/>
      <c r="AB97" s="251"/>
      <c r="AC97" s="251"/>
      <c r="AD97" s="251"/>
      <c r="AE97" s="251"/>
    </row>
    <row r="98" spans="2:31" x14ac:dyDescent="0.2">
      <c r="B98" s="251"/>
      <c r="C98" s="251"/>
      <c r="D98" s="251"/>
      <c r="E98" s="251"/>
      <c r="F98" s="251"/>
      <c r="G98" s="251"/>
      <c r="H98" s="251"/>
      <c r="I98" s="251"/>
      <c r="J98" s="251"/>
      <c r="K98" s="251"/>
      <c r="L98" s="251"/>
      <c r="M98" s="251"/>
      <c r="N98" s="251"/>
      <c r="O98" s="251"/>
      <c r="P98" s="251"/>
      <c r="Q98" s="251"/>
      <c r="R98" s="251"/>
      <c r="S98" s="251"/>
      <c r="T98" s="251"/>
      <c r="U98" s="251"/>
      <c r="V98" s="251"/>
      <c r="W98" s="251"/>
      <c r="X98" s="251"/>
      <c r="Y98" s="251"/>
      <c r="Z98" s="251"/>
      <c r="AA98" s="251"/>
      <c r="AB98" s="251"/>
      <c r="AC98" s="251"/>
      <c r="AD98" s="251"/>
      <c r="AE98" s="251"/>
    </row>
    <row r="99" spans="2:31" x14ac:dyDescent="0.2">
      <c r="B99" s="251"/>
      <c r="C99" s="251"/>
      <c r="D99" s="251"/>
      <c r="E99" s="251"/>
      <c r="F99" s="251"/>
      <c r="G99" s="251"/>
      <c r="H99" s="251"/>
      <c r="I99" s="251"/>
      <c r="J99" s="251"/>
      <c r="K99" s="251"/>
      <c r="L99" s="251"/>
      <c r="M99" s="251"/>
      <c r="N99" s="251"/>
      <c r="O99" s="251"/>
      <c r="P99" s="251"/>
      <c r="Q99" s="251"/>
      <c r="R99" s="251"/>
      <c r="S99" s="251"/>
      <c r="T99" s="251"/>
      <c r="U99" s="251"/>
      <c r="V99" s="251"/>
      <c r="W99" s="251"/>
      <c r="X99" s="251"/>
      <c r="Y99" s="251"/>
      <c r="Z99" s="251"/>
      <c r="AA99" s="251"/>
      <c r="AB99" s="251"/>
      <c r="AC99" s="251"/>
      <c r="AD99" s="251"/>
      <c r="AE99" s="251"/>
    </row>
    <row r="100" spans="2:31" x14ac:dyDescent="0.2">
      <c r="B100" s="251"/>
      <c r="C100" s="251"/>
      <c r="D100" s="251"/>
      <c r="E100" s="251"/>
      <c r="F100" s="251"/>
      <c r="G100" s="251"/>
      <c r="H100" s="251"/>
      <c r="I100" s="251"/>
      <c r="J100" s="251"/>
      <c r="K100" s="251"/>
      <c r="L100" s="251"/>
      <c r="M100" s="251"/>
      <c r="N100" s="251"/>
      <c r="O100" s="251"/>
      <c r="P100" s="251"/>
      <c r="Q100" s="251"/>
      <c r="R100" s="251"/>
      <c r="S100" s="251"/>
      <c r="T100" s="251"/>
      <c r="U100" s="251"/>
      <c r="V100" s="251"/>
      <c r="W100" s="251"/>
      <c r="X100" s="251"/>
      <c r="Y100" s="251"/>
      <c r="Z100" s="251"/>
      <c r="AA100" s="251"/>
      <c r="AB100" s="251"/>
      <c r="AC100" s="251"/>
      <c r="AD100" s="251"/>
      <c r="AE100" s="251"/>
    </row>
    <row r="101" spans="2:31" x14ac:dyDescent="0.2">
      <c r="B101" s="251"/>
      <c r="C101" s="251"/>
      <c r="D101" s="251"/>
      <c r="E101" s="251"/>
      <c r="F101" s="251"/>
      <c r="G101" s="251"/>
      <c r="H101" s="251"/>
      <c r="I101" s="251"/>
      <c r="J101" s="251"/>
      <c r="K101" s="251"/>
      <c r="L101" s="251"/>
      <c r="M101" s="251"/>
      <c r="N101" s="251"/>
      <c r="O101" s="251"/>
      <c r="P101" s="251"/>
      <c r="Q101" s="251"/>
      <c r="R101" s="251"/>
      <c r="S101" s="251"/>
      <c r="T101" s="251"/>
      <c r="U101" s="251"/>
      <c r="V101" s="251"/>
      <c r="W101" s="251"/>
      <c r="X101" s="251"/>
      <c r="Y101" s="251"/>
      <c r="Z101" s="251"/>
      <c r="AA101" s="251"/>
      <c r="AB101" s="251"/>
      <c r="AC101" s="251"/>
      <c r="AD101" s="251"/>
      <c r="AE101" s="251"/>
    </row>
    <row r="102" spans="2:31" x14ac:dyDescent="0.2">
      <c r="B102" s="251"/>
      <c r="C102" s="251"/>
      <c r="D102" s="251"/>
      <c r="E102" s="251"/>
      <c r="F102" s="251"/>
      <c r="G102" s="251"/>
      <c r="H102" s="251"/>
      <c r="I102" s="251"/>
      <c r="J102" s="251"/>
      <c r="K102" s="251"/>
      <c r="L102" s="251"/>
      <c r="M102" s="251"/>
      <c r="N102" s="251"/>
      <c r="O102" s="251"/>
      <c r="P102" s="251"/>
      <c r="Q102" s="251"/>
      <c r="R102" s="251"/>
      <c r="S102" s="251"/>
      <c r="T102" s="251"/>
      <c r="U102" s="251"/>
      <c r="V102" s="251"/>
      <c r="W102" s="251"/>
      <c r="X102" s="251"/>
      <c r="Y102" s="251"/>
      <c r="Z102" s="251"/>
      <c r="AA102" s="251"/>
      <c r="AB102" s="251"/>
      <c r="AC102" s="251"/>
      <c r="AD102" s="251"/>
      <c r="AE102" s="251"/>
    </row>
    <row r="103" spans="2:31" x14ac:dyDescent="0.2">
      <c r="B103" s="251"/>
      <c r="C103" s="251"/>
      <c r="D103" s="251"/>
      <c r="E103" s="251"/>
      <c r="F103" s="251"/>
      <c r="G103" s="251"/>
      <c r="H103" s="251"/>
      <c r="I103" s="251"/>
      <c r="J103" s="251"/>
      <c r="K103" s="251"/>
      <c r="L103" s="251"/>
      <c r="M103" s="251"/>
      <c r="N103" s="251"/>
      <c r="O103" s="251"/>
      <c r="P103" s="251"/>
      <c r="Q103" s="251"/>
      <c r="R103" s="251"/>
      <c r="S103" s="251"/>
      <c r="T103" s="251"/>
      <c r="U103" s="251"/>
      <c r="V103" s="251"/>
      <c r="W103" s="251"/>
      <c r="X103" s="251"/>
      <c r="Y103" s="251"/>
      <c r="Z103" s="251"/>
      <c r="AA103" s="251"/>
      <c r="AB103" s="251"/>
      <c r="AC103" s="251"/>
      <c r="AD103" s="251"/>
      <c r="AE103" s="251"/>
    </row>
    <row r="104" spans="2:31" x14ac:dyDescent="0.2">
      <c r="B104" s="251"/>
      <c r="C104" s="251"/>
      <c r="D104" s="251"/>
      <c r="E104" s="251"/>
      <c r="F104" s="251"/>
      <c r="G104" s="251"/>
      <c r="H104" s="251"/>
      <c r="I104" s="251"/>
      <c r="J104" s="251"/>
      <c r="K104" s="251"/>
      <c r="L104" s="251"/>
      <c r="M104" s="251"/>
      <c r="N104" s="251"/>
      <c r="O104" s="251"/>
      <c r="P104" s="251"/>
      <c r="Q104" s="251"/>
      <c r="R104" s="251"/>
      <c r="S104" s="251"/>
      <c r="T104" s="251"/>
      <c r="U104" s="251"/>
      <c r="V104" s="251"/>
      <c r="W104" s="251"/>
      <c r="X104" s="251"/>
      <c r="Y104" s="251"/>
      <c r="Z104" s="251"/>
      <c r="AA104" s="251"/>
      <c r="AB104" s="251"/>
      <c r="AC104" s="251"/>
      <c r="AD104" s="251"/>
      <c r="AE104" s="251"/>
    </row>
    <row r="105" spans="2:31" x14ac:dyDescent="0.2">
      <c r="B105" s="251"/>
      <c r="C105" s="251"/>
      <c r="D105" s="251"/>
      <c r="E105" s="251"/>
      <c r="F105" s="251"/>
      <c r="G105" s="251"/>
      <c r="H105" s="251"/>
      <c r="I105" s="251"/>
      <c r="J105" s="251"/>
      <c r="K105" s="251"/>
      <c r="L105" s="251"/>
      <c r="M105" s="251"/>
      <c r="N105" s="251"/>
      <c r="O105" s="251"/>
      <c r="P105" s="251"/>
      <c r="Q105" s="251"/>
      <c r="R105" s="251"/>
      <c r="S105" s="251"/>
      <c r="T105" s="251"/>
      <c r="U105" s="251"/>
      <c r="V105" s="251"/>
      <c r="W105" s="251"/>
      <c r="X105" s="251"/>
      <c r="Y105" s="251"/>
      <c r="Z105" s="251"/>
      <c r="AA105" s="251"/>
      <c r="AB105" s="251"/>
      <c r="AC105" s="251"/>
      <c r="AD105" s="251"/>
      <c r="AE105" s="251"/>
    </row>
    <row r="106" spans="2:31" x14ac:dyDescent="0.2">
      <c r="B106" s="251"/>
      <c r="C106" s="251"/>
      <c r="D106" s="251"/>
      <c r="E106" s="251"/>
      <c r="F106" s="251"/>
      <c r="G106" s="251"/>
      <c r="H106" s="251"/>
      <c r="I106" s="251"/>
      <c r="J106" s="251"/>
      <c r="K106" s="251"/>
      <c r="L106" s="251"/>
      <c r="M106" s="251"/>
      <c r="N106" s="251"/>
      <c r="O106" s="251"/>
      <c r="P106" s="251"/>
      <c r="Q106" s="251"/>
      <c r="R106" s="251"/>
      <c r="S106" s="251"/>
      <c r="T106" s="251"/>
      <c r="U106" s="251"/>
      <c r="V106" s="251"/>
      <c r="W106" s="251"/>
      <c r="X106" s="251"/>
      <c r="Y106" s="251"/>
      <c r="Z106" s="251"/>
      <c r="AA106" s="251"/>
      <c r="AB106" s="251"/>
      <c r="AC106" s="251"/>
      <c r="AD106" s="251"/>
      <c r="AE106" s="251"/>
    </row>
    <row r="107" spans="2:31" x14ac:dyDescent="0.2">
      <c r="B107" s="251"/>
      <c r="C107" s="251"/>
      <c r="D107" s="251"/>
      <c r="E107" s="251"/>
      <c r="F107" s="251"/>
      <c r="G107" s="251"/>
      <c r="H107" s="251"/>
      <c r="I107" s="251"/>
      <c r="J107" s="251"/>
      <c r="K107" s="251"/>
      <c r="L107" s="251"/>
      <c r="M107" s="251"/>
      <c r="N107" s="251"/>
      <c r="O107" s="251"/>
      <c r="P107" s="251"/>
      <c r="Q107" s="251"/>
      <c r="R107" s="251"/>
      <c r="S107" s="251"/>
      <c r="T107" s="251"/>
      <c r="U107" s="251"/>
      <c r="V107" s="251"/>
      <c r="W107" s="251"/>
      <c r="X107" s="251"/>
      <c r="Y107" s="251"/>
      <c r="Z107" s="251"/>
      <c r="AA107" s="251"/>
      <c r="AB107" s="251"/>
      <c r="AC107" s="251"/>
      <c r="AD107" s="251"/>
      <c r="AE107" s="251"/>
    </row>
    <row r="108" spans="2:31" x14ac:dyDescent="0.2">
      <c r="B108" s="251"/>
      <c r="C108" s="251"/>
      <c r="D108" s="251"/>
      <c r="E108" s="251"/>
      <c r="F108" s="251"/>
      <c r="G108" s="251"/>
      <c r="H108" s="251"/>
      <c r="I108" s="251"/>
      <c r="J108" s="251"/>
      <c r="K108" s="251"/>
      <c r="L108" s="251"/>
      <c r="M108" s="251"/>
      <c r="N108" s="251"/>
      <c r="O108" s="251"/>
      <c r="P108" s="251"/>
      <c r="Q108" s="251"/>
      <c r="R108" s="251"/>
      <c r="S108" s="251"/>
      <c r="T108" s="251"/>
      <c r="U108" s="251"/>
      <c r="V108" s="251"/>
      <c r="W108" s="251"/>
      <c r="X108" s="251"/>
      <c r="Y108" s="251"/>
      <c r="Z108" s="251"/>
      <c r="AA108" s="251"/>
      <c r="AB108" s="251"/>
      <c r="AC108" s="251"/>
      <c r="AD108" s="251"/>
      <c r="AE108" s="251"/>
    </row>
    <row r="109" spans="2:31" x14ac:dyDescent="0.2">
      <c r="B109" s="251"/>
      <c r="C109" s="251"/>
      <c r="D109" s="251"/>
      <c r="E109" s="251"/>
      <c r="F109" s="251"/>
      <c r="G109" s="251"/>
      <c r="H109" s="251"/>
      <c r="I109" s="251"/>
      <c r="J109" s="251"/>
      <c r="K109" s="251"/>
      <c r="L109" s="251"/>
      <c r="M109" s="251"/>
      <c r="N109" s="251"/>
      <c r="O109" s="251"/>
      <c r="P109" s="251"/>
      <c r="Q109" s="251"/>
      <c r="R109" s="251"/>
      <c r="S109" s="251"/>
      <c r="T109" s="251"/>
      <c r="U109" s="251"/>
      <c r="V109" s="251"/>
      <c r="W109" s="251"/>
      <c r="X109" s="251"/>
      <c r="Y109" s="251"/>
      <c r="Z109" s="251"/>
      <c r="AA109" s="251"/>
      <c r="AB109" s="251"/>
      <c r="AC109" s="251"/>
      <c r="AD109" s="251"/>
      <c r="AE109" s="251"/>
    </row>
    <row r="110" spans="2:31" x14ac:dyDescent="0.2">
      <c r="B110" s="251"/>
      <c r="C110" s="251"/>
      <c r="D110" s="251"/>
      <c r="E110" s="251"/>
      <c r="F110" s="251"/>
      <c r="G110" s="251"/>
      <c r="H110" s="251"/>
      <c r="I110" s="251"/>
      <c r="J110" s="251"/>
      <c r="K110" s="251"/>
      <c r="L110" s="251"/>
      <c r="M110" s="251"/>
      <c r="N110" s="251"/>
      <c r="O110" s="251"/>
      <c r="P110" s="251"/>
      <c r="Q110" s="251"/>
      <c r="R110" s="251"/>
      <c r="S110" s="251"/>
      <c r="T110" s="251"/>
      <c r="U110" s="251"/>
      <c r="V110" s="251"/>
      <c r="W110" s="251"/>
      <c r="X110" s="251"/>
      <c r="Y110" s="251"/>
      <c r="Z110" s="251"/>
      <c r="AA110" s="251"/>
      <c r="AB110" s="251"/>
      <c r="AC110" s="251"/>
      <c r="AD110" s="251"/>
      <c r="AE110" s="251"/>
    </row>
    <row r="111" spans="2:31" x14ac:dyDescent="0.2">
      <c r="B111" s="251"/>
      <c r="C111" s="251"/>
      <c r="D111" s="251"/>
      <c r="E111" s="251"/>
      <c r="F111" s="251"/>
      <c r="G111" s="251"/>
      <c r="H111" s="251"/>
      <c r="I111" s="251"/>
      <c r="J111" s="251"/>
      <c r="K111" s="251"/>
      <c r="L111" s="251"/>
      <c r="M111" s="251"/>
      <c r="N111" s="251"/>
      <c r="O111" s="251"/>
      <c r="P111" s="251"/>
      <c r="Q111" s="251"/>
      <c r="R111" s="251"/>
      <c r="S111" s="251"/>
      <c r="T111" s="251"/>
      <c r="U111" s="251"/>
      <c r="V111" s="251"/>
      <c r="W111" s="251"/>
      <c r="X111" s="251"/>
      <c r="Y111" s="251"/>
      <c r="Z111" s="251"/>
      <c r="AA111" s="251"/>
      <c r="AB111" s="251"/>
      <c r="AC111" s="251"/>
      <c r="AD111" s="251"/>
      <c r="AE111" s="251"/>
    </row>
    <row r="112" spans="2:31" x14ac:dyDescent="0.2">
      <c r="B112" s="251"/>
      <c r="C112" s="251"/>
      <c r="D112" s="251"/>
      <c r="E112" s="251"/>
      <c r="F112" s="251"/>
      <c r="G112" s="251"/>
      <c r="H112" s="251"/>
      <c r="I112" s="251"/>
      <c r="J112" s="251"/>
      <c r="K112" s="251"/>
      <c r="L112" s="251"/>
      <c r="M112" s="251"/>
      <c r="N112" s="251"/>
      <c r="O112" s="251"/>
      <c r="P112" s="251"/>
      <c r="Q112" s="251"/>
      <c r="R112" s="251"/>
      <c r="S112" s="251"/>
      <c r="T112" s="251"/>
      <c r="U112" s="251"/>
      <c r="V112" s="251"/>
      <c r="W112" s="251"/>
      <c r="X112" s="251"/>
      <c r="Y112" s="251"/>
      <c r="Z112" s="251"/>
      <c r="AA112" s="251"/>
      <c r="AB112" s="251"/>
      <c r="AC112" s="251"/>
      <c r="AD112" s="251"/>
      <c r="AE112" s="251"/>
    </row>
    <row r="113" spans="2:31" x14ac:dyDescent="0.2">
      <c r="B113" s="251"/>
      <c r="C113" s="251"/>
      <c r="D113" s="251"/>
      <c r="E113" s="251"/>
      <c r="F113" s="251"/>
      <c r="G113" s="251"/>
      <c r="H113" s="251"/>
      <c r="I113" s="251"/>
      <c r="J113" s="251"/>
      <c r="K113" s="251"/>
      <c r="L113" s="251"/>
      <c r="M113" s="251"/>
      <c r="N113" s="251"/>
      <c r="O113" s="251"/>
      <c r="P113" s="251"/>
      <c r="Q113" s="251"/>
      <c r="R113" s="251"/>
      <c r="S113" s="251"/>
      <c r="T113" s="251"/>
      <c r="U113" s="251"/>
      <c r="V113" s="251"/>
      <c r="W113" s="251"/>
      <c r="X113" s="251"/>
      <c r="Y113" s="251"/>
      <c r="Z113" s="251"/>
      <c r="AA113" s="251"/>
      <c r="AB113" s="251"/>
      <c r="AC113" s="251"/>
      <c r="AD113" s="251"/>
      <c r="AE113" s="251"/>
    </row>
    <row r="114" spans="2:31" x14ac:dyDescent="0.2">
      <c r="B114" s="251"/>
      <c r="C114" s="251"/>
      <c r="D114" s="251"/>
      <c r="E114" s="251"/>
      <c r="F114" s="251"/>
      <c r="G114" s="251"/>
      <c r="H114" s="251"/>
      <c r="I114" s="251"/>
      <c r="J114" s="251"/>
      <c r="K114" s="251"/>
      <c r="L114" s="251"/>
      <c r="M114" s="251"/>
      <c r="N114" s="251"/>
      <c r="O114" s="251"/>
      <c r="P114" s="251"/>
      <c r="Q114" s="251"/>
      <c r="R114" s="251"/>
      <c r="S114" s="251"/>
      <c r="T114" s="251"/>
      <c r="U114" s="251"/>
      <c r="V114" s="251"/>
      <c r="W114" s="251"/>
      <c r="X114" s="251"/>
      <c r="Y114" s="251"/>
      <c r="Z114" s="251"/>
      <c r="AA114" s="251"/>
      <c r="AB114" s="251"/>
      <c r="AC114" s="251"/>
      <c r="AD114" s="251"/>
      <c r="AE114" s="251"/>
    </row>
    <row r="115" spans="2:31" x14ac:dyDescent="0.2">
      <c r="B115" s="251"/>
      <c r="C115" s="251"/>
      <c r="D115" s="251"/>
      <c r="E115" s="251"/>
      <c r="F115" s="251"/>
      <c r="G115" s="251"/>
      <c r="H115" s="251"/>
      <c r="I115" s="251"/>
      <c r="J115" s="251"/>
      <c r="K115" s="251"/>
      <c r="L115" s="251"/>
      <c r="M115" s="251"/>
      <c r="N115" s="251"/>
      <c r="O115" s="251"/>
      <c r="P115" s="251"/>
      <c r="Q115" s="251"/>
      <c r="R115" s="251"/>
      <c r="S115" s="251"/>
      <c r="T115" s="251"/>
      <c r="U115" s="251"/>
      <c r="V115" s="251"/>
      <c r="W115" s="251"/>
      <c r="X115" s="251"/>
      <c r="Y115" s="251"/>
      <c r="Z115" s="251"/>
      <c r="AA115" s="251"/>
      <c r="AB115" s="251"/>
      <c r="AC115" s="251"/>
      <c r="AD115" s="251"/>
      <c r="AE115" s="251"/>
    </row>
    <row r="116" spans="2:31" x14ac:dyDescent="0.2">
      <c r="B116" s="251"/>
      <c r="C116" s="251"/>
      <c r="D116" s="251"/>
      <c r="E116" s="251"/>
      <c r="F116" s="251"/>
      <c r="G116" s="251"/>
      <c r="H116" s="251"/>
      <c r="I116" s="251"/>
      <c r="J116" s="251"/>
      <c r="K116" s="251"/>
      <c r="L116" s="251"/>
      <c r="M116" s="251"/>
      <c r="N116" s="251"/>
      <c r="O116" s="251"/>
      <c r="P116" s="251"/>
      <c r="Q116" s="251"/>
      <c r="R116" s="251"/>
      <c r="S116" s="251"/>
      <c r="T116" s="251"/>
      <c r="U116" s="251"/>
      <c r="V116" s="251"/>
      <c r="W116" s="251"/>
      <c r="X116" s="251"/>
      <c r="Y116" s="251"/>
      <c r="Z116" s="251"/>
      <c r="AA116" s="251"/>
      <c r="AB116" s="251"/>
      <c r="AC116" s="251"/>
      <c r="AD116" s="251"/>
      <c r="AE116" s="251"/>
    </row>
    <row r="117" spans="2:31" x14ac:dyDescent="0.2">
      <c r="B117" s="251"/>
      <c r="C117" s="251"/>
      <c r="D117" s="251"/>
      <c r="E117" s="251"/>
      <c r="F117" s="251"/>
      <c r="G117" s="251"/>
      <c r="H117" s="251"/>
      <c r="I117" s="251"/>
      <c r="J117" s="251"/>
      <c r="K117" s="251"/>
      <c r="L117" s="251"/>
      <c r="M117" s="251"/>
      <c r="N117" s="251"/>
      <c r="O117" s="251"/>
      <c r="P117" s="251"/>
      <c r="Q117" s="251"/>
      <c r="R117" s="251"/>
      <c r="S117" s="251"/>
      <c r="T117" s="251"/>
      <c r="U117" s="251"/>
      <c r="V117" s="251"/>
      <c r="W117" s="251"/>
      <c r="X117" s="251"/>
      <c r="Y117" s="251"/>
      <c r="Z117" s="251"/>
      <c r="AA117" s="251"/>
      <c r="AB117" s="251"/>
      <c r="AC117" s="251"/>
      <c r="AD117" s="251"/>
      <c r="AE117" s="251"/>
    </row>
    <row r="118" spans="2:31" x14ac:dyDescent="0.2">
      <c r="B118" s="251"/>
      <c r="C118" s="251"/>
      <c r="D118" s="251"/>
      <c r="E118" s="251"/>
      <c r="F118" s="251"/>
      <c r="G118" s="251"/>
      <c r="H118" s="251"/>
      <c r="I118" s="251"/>
      <c r="J118" s="251"/>
      <c r="K118" s="251"/>
      <c r="L118" s="251"/>
      <c r="M118" s="251"/>
      <c r="N118" s="251"/>
      <c r="O118" s="251"/>
      <c r="P118" s="251"/>
      <c r="Q118" s="251"/>
      <c r="R118" s="251"/>
      <c r="S118" s="251"/>
      <c r="T118" s="251"/>
      <c r="U118" s="251"/>
      <c r="V118" s="251"/>
      <c r="W118" s="251"/>
      <c r="X118" s="251"/>
      <c r="Y118" s="251"/>
      <c r="Z118" s="251"/>
      <c r="AA118" s="251"/>
      <c r="AB118" s="251"/>
      <c r="AC118" s="251"/>
      <c r="AD118" s="251"/>
      <c r="AE118" s="251"/>
    </row>
    <row r="119" spans="2:31" x14ac:dyDescent="0.2">
      <c r="B119" s="251"/>
      <c r="C119" s="251"/>
      <c r="D119" s="251"/>
      <c r="E119" s="251"/>
      <c r="F119" s="251"/>
      <c r="G119" s="251"/>
      <c r="H119" s="251"/>
      <c r="I119" s="251"/>
      <c r="J119" s="251"/>
      <c r="K119" s="251"/>
      <c r="L119" s="251"/>
      <c r="M119" s="251"/>
      <c r="N119" s="251"/>
      <c r="O119" s="251"/>
      <c r="P119" s="251"/>
      <c r="Q119" s="251"/>
      <c r="R119" s="251"/>
      <c r="S119" s="251"/>
      <c r="T119" s="251"/>
      <c r="U119" s="251"/>
      <c r="V119" s="251"/>
      <c r="W119" s="251"/>
      <c r="X119" s="251"/>
      <c r="Y119" s="251"/>
      <c r="Z119" s="251"/>
      <c r="AA119" s="251"/>
      <c r="AB119" s="251"/>
      <c r="AC119" s="251"/>
      <c r="AD119" s="251"/>
      <c r="AE119" s="251"/>
    </row>
    <row r="120" spans="2:31" x14ac:dyDescent="0.2">
      <c r="B120" s="251"/>
      <c r="C120" s="251"/>
      <c r="D120" s="251"/>
      <c r="E120" s="251"/>
      <c r="F120" s="251"/>
      <c r="G120" s="251"/>
      <c r="H120" s="251"/>
      <c r="I120" s="251"/>
      <c r="J120" s="251"/>
      <c r="K120" s="251"/>
      <c r="L120" s="251"/>
      <c r="M120" s="251"/>
      <c r="N120" s="251"/>
      <c r="O120" s="251"/>
      <c r="P120" s="251"/>
      <c r="Q120" s="251"/>
      <c r="R120" s="251"/>
      <c r="S120" s="251"/>
      <c r="T120" s="251"/>
      <c r="U120" s="251"/>
      <c r="V120" s="251"/>
      <c r="W120" s="251"/>
      <c r="X120" s="251"/>
      <c r="Y120" s="251"/>
      <c r="Z120" s="251"/>
      <c r="AA120" s="251"/>
      <c r="AB120" s="251"/>
      <c r="AC120" s="251"/>
      <c r="AD120" s="251"/>
      <c r="AE120" s="251"/>
    </row>
    <row r="121" spans="2:31" x14ac:dyDescent="0.2">
      <c r="B121" s="251"/>
      <c r="C121" s="251"/>
      <c r="D121" s="251"/>
      <c r="E121" s="251"/>
      <c r="F121" s="251"/>
      <c r="G121" s="251"/>
      <c r="H121" s="251"/>
      <c r="I121" s="251"/>
      <c r="J121" s="251"/>
      <c r="K121" s="251"/>
      <c r="L121" s="251"/>
      <c r="M121" s="251"/>
      <c r="N121" s="251"/>
      <c r="O121" s="251"/>
      <c r="P121" s="251"/>
      <c r="Q121" s="251"/>
      <c r="R121" s="251"/>
      <c r="S121" s="251"/>
      <c r="T121" s="251"/>
      <c r="U121" s="251"/>
      <c r="V121" s="251"/>
      <c r="W121" s="251"/>
      <c r="X121" s="251"/>
      <c r="Y121" s="251"/>
      <c r="Z121" s="251"/>
      <c r="AA121" s="251"/>
      <c r="AB121" s="251"/>
      <c r="AC121" s="251"/>
      <c r="AD121" s="251"/>
      <c r="AE121" s="251"/>
    </row>
    <row r="122" spans="2:31" x14ac:dyDescent="0.2">
      <c r="B122" s="251"/>
      <c r="C122" s="251"/>
      <c r="D122" s="251"/>
      <c r="E122" s="251"/>
      <c r="F122" s="251"/>
      <c r="G122" s="251"/>
      <c r="H122" s="251"/>
      <c r="I122" s="251"/>
      <c r="J122" s="251"/>
      <c r="K122" s="251"/>
      <c r="L122" s="251"/>
      <c r="M122" s="251"/>
      <c r="N122" s="251"/>
      <c r="O122" s="251"/>
      <c r="P122" s="251"/>
      <c r="Q122" s="251"/>
      <c r="R122" s="251"/>
      <c r="S122" s="251"/>
      <c r="T122" s="251"/>
      <c r="U122" s="251"/>
      <c r="V122" s="251"/>
      <c r="W122" s="251"/>
      <c r="X122" s="251"/>
      <c r="Y122" s="251"/>
      <c r="Z122" s="251"/>
      <c r="AA122" s="251"/>
      <c r="AB122" s="251"/>
      <c r="AC122" s="251"/>
      <c r="AD122" s="251"/>
      <c r="AE122" s="251"/>
    </row>
    <row r="123" spans="2:31" x14ac:dyDescent="0.2">
      <c r="B123" s="251"/>
      <c r="C123" s="251"/>
      <c r="D123" s="251"/>
      <c r="E123" s="251"/>
      <c r="F123" s="251"/>
      <c r="G123" s="251"/>
      <c r="H123" s="251"/>
      <c r="I123" s="251"/>
      <c r="J123" s="251"/>
      <c r="K123" s="251"/>
      <c r="L123" s="251"/>
      <c r="M123" s="251"/>
      <c r="N123" s="251"/>
      <c r="O123" s="251"/>
      <c r="P123" s="251"/>
      <c r="Q123" s="251"/>
      <c r="R123" s="251"/>
      <c r="S123" s="251"/>
      <c r="T123" s="251"/>
      <c r="U123" s="251"/>
      <c r="V123" s="251"/>
      <c r="W123" s="251"/>
      <c r="X123" s="251"/>
      <c r="Y123" s="251"/>
      <c r="Z123" s="251"/>
      <c r="AA123" s="251"/>
      <c r="AB123" s="251"/>
      <c r="AC123" s="251"/>
      <c r="AD123" s="251"/>
      <c r="AE123" s="251"/>
    </row>
    <row r="124" spans="2:31" x14ac:dyDescent="0.2">
      <c r="B124" s="251"/>
      <c r="C124" s="251"/>
      <c r="D124" s="251"/>
      <c r="E124" s="251"/>
      <c r="F124" s="251"/>
      <c r="G124" s="251"/>
      <c r="H124" s="251"/>
      <c r="I124" s="251"/>
      <c r="J124" s="251"/>
      <c r="K124" s="251"/>
      <c r="L124" s="251"/>
      <c r="M124" s="251"/>
      <c r="N124" s="251"/>
      <c r="O124" s="251"/>
      <c r="P124" s="251"/>
      <c r="Q124" s="251"/>
      <c r="R124" s="251"/>
      <c r="S124" s="251"/>
      <c r="T124" s="251"/>
      <c r="U124" s="251"/>
      <c r="V124" s="251"/>
      <c r="W124" s="251"/>
      <c r="X124" s="251"/>
      <c r="Y124" s="251"/>
      <c r="Z124" s="251"/>
      <c r="AA124" s="251"/>
      <c r="AB124" s="251"/>
      <c r="AC124" s="251"/>
      <c r="AD124" s="251"/>
      <c r="AE124" s="251"/>
    </row>
    <row r="125" spans="2:31" x14ac:dyDescent="0.2">
      <c r="B125" s="251"/>
      <c r="C125" s="251"/>
      <c r="D125" s="251"/>
      <c r="E125" s="251"/>
      <c r="F125" s="251"/>
      <c r="G125" s="251"/>
      <c r="H125" s="251"/>
      <c r="I125" s="251"/>
      <c r="J125" s="251"/>
      <c r="K125" s="251"/>
      <c r="L125" s="251"/>
      <c r="M125" s="251"/>
      <c r="N125" s="251"/>
      <c r="O125" s="251"/>
      <c r="P125" s="251"/>
      <c r="Q125" s="251"/>
      <c r="R125" s="251"/>
      <c r="S125" s="251"/>
      <c r="T125" s="251"/>
      <c r="U125" s="251"/>
      <c r="V125" s="251"/>
      <c r="W125" s="251"/>
      <c r="X125" s="251"/>
      <c r="Y125" s="251"/>
      <c r="Z125" s="251"/>
      <c r="AA125" s="251"/>
      <c r="AB125" s="251"/>
      <c r="AC125" s="251"/>
      <c r="AD125" s="251"/>
      <c r="AE125" s="251"/>
    </row>
    <row r="126" spans="2:31" x14ac:dyDescent="0.2">
      <c r="B126" s="251"/>
      <c r="C126" s="251"/>
      <c r="D126" s="251"/>
      <c r="E126" s="251"/>
      <c r="F126" s="251"/>
      <c r="G126" s="251"/>
      <c r="H126" s="251"/>
      <c r="I126" s="251"/>
      <c r="J126" s="251"/>
      <c r="K126" s="251"/>
      <c r="L126" s="251"/>
      <c r="M126" s="251"/>
      <c r="N126" s="251"/>
      <c r="O126" s="251"/>
      <c r="P126" s="251"/>
      <c r="Q126" s="251"/>
      <c r="R126" s="251"/>
      <c r="S126" s="251"/>
      <c r="T126" s="251"/>
      <c r="U126" s="251"/>
      <c r="V126" s="251"/>
      <c r="W126" s="251"/>
      <c r="X126" s="251"/>
      <c r="Y126" s="251"/>
      <c r="Z126" s="251"/>
      <c r="AA126" s="251"/>
      <c r="AB126" s="251"/>
      <c r="AC126" s="251"/>
      <c r="AD126" s="251"/>
      <c r="AE126" s="251"/>
    </row>
    <row r="127" spans="2:31" x14ac:dyDescent="0.2">
      <c r="B127" s="251"/>
      <c r="C127" s="251"/>
      <c r="D127" s="251"/>
      <c r="E127" s="251"/>
      <c r="F127" s="251"/>
      <c r="G127" s="251"/>
      <c r="H127" s="251"/>
      <c r="I127" s="251"/>
      <c r="J127" s="251"/>
      <c r="K127" s="251"/>
      <c r="L127" s="251"/>
      <c r="M127" s="251"/>
      <c r="N127" s="251"/>
      <c r="O127" s="251"/>
      <c r="P127" s="251"/>
      <c r="Q127" s="251"/>
      <c r="R127" s="251"/>
      <c r="S127" s="251"/>
      <c r="T127" s="251"/>
      <c r="U127" s="251"/>
      <c r="V127" s="251"/>
      <c r="W127" s="251"/>
      <c r="X127" s="251"/>
      <c r="Y127" s="251"/>
      <c r="Z127" s="251"/>
      <c r="AA127" s="251"/>
      <c r="AB127" s="251"/>
      <c r="AC127" s="251"/>
      <c r="AD127" s="251"/>
      <c r="AE127" s="251"/>
    </row>
    <row r="128" spans="2:31" x14ac:dyDescent="0.2">
      <c r="B128" s="251"/>
      <c r="C128" s="251"/>
      <c r="D128" s="251"/>
      <c r="E128" s="251"/>
      <c r="F128" s="251"/>
      <c r="G128" s="251"/>
      <c r="H128" s="251"/>
      <c r="I128" s="251"/>
      <c r="J128" s="251"/>
      <c r="K128" s="251"/>
      <c r="L128" s="251"/>
      <c r="M128" s="251"/>
      <c r="N128" s="251"/>
      <c r="O128" s="251"/>
      <c r="P128" s="251"/>
      <c r="Q128" s="251"/>
      <c r="R128" s="251"/>
      <c r="S128" s="251"/>
      <c r="T128" s="251"/>
      <c r="U128" s="251"/>
      <c r="V128" s="251"/>
      <c r="W128" s="251"/>
      <c r="X128" s="251"/>
      <c r="Y128" s="251"/>
      <c r="Z128" s="251"/>
      <c r="AA128" s="251"/>
      <c r="AB128" s="251"/>
      <c r="AC128" s="251"/>
      <c r="AD128" s="251"/>
      <c r="AE128" s="251"/>
    </row>
    <row r="129" spans="2:31" x14ac:dyDescent="0.2">
      <c r="B129" s="251"/>
      <c r="C129" s="251"/>
      <c r="D129" s="251"/>
      <c r="E129" s="251"/>
      <c r="F129" s="251"/>
      <c r="G129" s="251"/>
      <c r="H129" s="251"/>
      <c r="I129" s="251"/>
      <c r="J129" s="251"/>
      <c r="K129" s="251"/>
      <c r="L129" s="251"/>
      <c r="M129" s="251"/>
      <c r="N129" s="251"/>
      <c r="O129" s="251"/>
      <c r="P129" s="251"/>
      <c r="Q129" s="251"/>
      <c r="R129" s="251"/>
      <c r="S129" s="251"/>
      <c r="T129" s="251"/>
      <c r="U129" s="251"/>
      <c r="V129" s="251"/>
      <c r="W129" s="251"/>
      <c r="X129" s="251"/>
      <c r="Y129" s="251"/>
      <c r="Z129" s="251"/>
      <c r="AA129" s="251"/>
      <c r="AB129" s="251"/>
      <c r="AC129" s="251"/>
      <c r="AD129" s="251"/>
      <c r="AE129" s="251"/>
    </row>
    <row r="130" spans="2:31" x14ac:dyDescent="0.2">
      <c r="B130" s="251"/>
      <c r="C130" s="251"/>
      <c r="D130" s="251"/>
      <c r="E130" s="251"/>
      <c r="F130" s="251"/>
      <c r="G130" s="251"/>
      <c r="H130" s="251"/>
      <c r="I130" s="251"/>
      <c r="J130" s="251"/>
      <c r="K130" s="251"/>
      <c r="L130" s="251"/>
      <c r="M130" s="251"/>
      <c r="N130" s="251"/>
      <c r="O130" s="251"/>
      <c r="P130" s="251"/>
      <c r="Q130" s="251"/>
      <c r="R130" s="251"/>
      <c r="S130" s="251"/>
      <c r="T130" s="251"/>
      <c r="U130" s="251"/>
      <c r="V130" s="251"/>
      <c r="W130" s="251"/>
      <c r="X130" s="251"/>
      <c r="Y130" s="251"/>
      <c r="Z130" s="251"/>
      <c r="AA130" s="251"/>
      <c r="AB130" s="251"/>
      <c r="AC130" s="251"/>
      <c r="AD130" s="251"/>
      <c r="AE130" s="251"/>
    </row>
    <row r="131" spans="2:31" x14ac:dyDescent="0.2">
      <c r="B131" s="251"/>
      <c r="C131" s="251"/>
      <c r="D131" s="251"/>
      <c r="E131" s="251"/>
      <c r="F131" s="251"/>
      <c r="G131" s="251"/>
      <c r="H131" s="251"/>
      <c r="I131" s="251"/>
      <c r="J131" s="251"/>
      <c r="K131" s="251"/>
      <c r="L131" s="251"/>
      <c r="M131" s="251"/>
      <c r="N131" s="251"/>
      <c r="O131" s="251"/>
      <c r="P131" s="251"/>
      <c r="Q131" s="251"/>
      <c r="R131" s="251"/>
      <c r="S131" s="251"/>
      <c r="T131" s="251"/>
      <c r="U131" s="251"/>
      <c r="V131" s="251"/>
      <c r="W131" s="251"/>
      <c r="X131" s="251"/>
      <c r="Y131" s="251"/>
      <c r="Z131" s="251"/>
      <c r="AA131" s="251"/>
      <c r="AB131" s="251"/>
      <c r="AC131" s="251"/>
      <c r="AD131" s="251"/>
      <c r="AE131" s="251"/>
    </row>
    <row r="132" spans="2:31" x14ac:dyDescent="0.2">
      <c r="B132" s="251"/>
      <c r="C132" s="251"/>
      <c r="D132" s="251"/>
      <c r="E132" s="251"/>
      <c r="F132" s="251"/>
      <c r="G132" s="251"/>
      <c r="H132" s="251"/>
      <c r="I132" s="251"/>
      <c r="J132" s="251"/>
      <c r="K132" s="251"/>
      <c r="L132" s="251"/>
      <c r="M132" s="251"/>
      <c r="N132" s="251"/>
      <c r="O132" s="251"/>
      <c r="P132" s="251"/>
      <c r="Q132" s="251"/>
      <c r="R132" s="251"/>
      <c r="S132" s="251"/>
      <c r="T132" s="251"/>
      <c r="U132" s="251"/>
      <c r="V132" s="251"/>
      <c r="W132" s="251"/>
      <c r="X132" s="251"/>
      <c r="Y132" s="251"/>
      <c r="Z132" s="251"/>
      <c r="AA132" s="251"/>
      <c r="AB132" s="251"/>
      <c r="AC132" s="251"/>
      <c r="AD132" s="251"/>
      <c r="AE132" s="251"/>
    </row>
    <row r="133" spans="2:31" x14ac:dyDescent="0.2">
      <c r="B133" s="251"/>
      <c r="C133" s="251"/>
      <c r="D133" s="251"/>
      <c r="E133" s="251"/>
      <c r="F133" s="251"/>
      <c r="G133" s="251"/>
      <c r="H133" s="251"/>
      <c r="I133" s="251"/>
      <c r="J133" s="251"/>
      <c r="K133" s="251"/>
      <c r="L133" s="251"/>
      <c r="M133" s="251"/>
      <c r="N133" s="251"/>
      <c r="O133" s="251"/>
      <c r="P133" s="251"/>
      <c r="Q133" s="251"/>
      <c r="R133" s="251"/>
      <c r="S133" s="251"/>
      <c r="T133" s="251"/>
      <c r="U133" s="251"/>
      <c r="V133" s="251"/>
      <c r="W133" s="251"/>
      <c r="X133" s="251"/>
      <c r="Y133" s="251"/>
      <c r="Z133" s="251"/>
      <c r="AA133" s="251"/>
      <c r="AB133" s="251"/>
      <c r="AC133" s="251"/>
      <c r="AD133" s="251"/>
      <c r="AE133" s="251"/>
    </row>
    <row r="134" spans="2:31" x14ac:dyDescent="0.2">
      <c r="B134" s="251"/>
      <c r="C134" s="251"/>
      <c r="D134" s="251"/>
      <c r="E134" s="251"/>
      <c r="F134" s="251"/>
      <c r="G134" s="251"/>
      <c r="H134" s="251"/>
      <c r="I134" s="251"/>
      <c r="J134" s="251"/>
      <c r="K134" s="251"/>
      <c r="L134" s="251"/>
      <c r="M134" s="251"/>
      <c r="N134" s="251"/>
      <c r="O134" s="251"/>
      <c r="P134" s="251"/>
      <c r="Q134" s="251"/>
      <c r="R134" s="251"/>
      <c r="S134" s="251"/>
      <c r="T134" s="251"/>
      <c r="U134" s="251"/>
      <c r="V134" s="251"/>
      <c r="W134" s="251"/>
      <c r="X134" s="251"/>
      <c r="Y134" s="251"/>
      <c r="Z134" s="251"/>
      <c r="AA134" s="251"/>
      <c r="AB134" s="251"/>
      <c r="AC134" s="251"/>
      <c r="AD134" s="251"/>
      <c r="AE134" s="251"/>
    </row>
    <row r="135" spans="2:31" x14ac:dyDescent="0.2">
      <c r="B135" s="251"/>
      <c r="C135" s="251"/>
      <c r="D135" s="251"/>
      <c r="E135" s="251"/>
      <c r="F135" s="251"/>
      <c r="G135" s="251"/>
      <c r="H135" s="251"/>
      <c r="I135" s="251"/>
      <c r="J135" s="251"/>
      <c r="K135" s="251"/>
      <c r="L135" s="251"/>
      <c r="M135" s="251"/>
      <c r="N135" s="251"/>
      <c r="O135" s="251"/>
      <c r="P135" s="251"/>
      <c r="Q135" s="251"/>
      <c r="R135" s="251"/>
      <c r="S135" s="251"/>
      <c r="T135" s="251"/>
      <c r="U135" s="251"/>
      <c r="V135" s="251"/>
      <c r="W135" s="251"/>
      <c r="X135" s="251"/>
      <c r="Y135" s="251"/>
      <c r="Z135" s="251"/>
      <c r="AA135" s="251"/>
      <c r="AB135" s="251"/>
      <c r="AC135" s="251"/>
      <c r="AD135" s="251"/>
      <c r="AE135" s="251"/>
    </row>
    <row r="136" spans="2:31" x14ac:dyDescent="0.2">
      <c r="B136" s="251"/>
      <c r="C136" s="251"/>
      <c r="D136" s="251"/>
      <c r="E136" s="251"/>
      <c r="F136" s="251"/>
      <c r="G136" s="251"/>
      <c r="H136" s="251"/>
      <c r="I136" s="251"/>
      <c r="J136" s="251"/>
      <c r="K136" s="251"/>
      <c r="L136" s="251"/>
      <c r="M136" s="251"/>
      <c r="N136" s="251"/>
      <c r="O136" s="251"/>
      <c r="P136" s="251"/>
      <c r="Q136" s="251"/>
      <c r="R136" s="251"/>
      <c r="S136" s="251"/>
      <c r="T136" s="251"/>
      <c r="U136" s="251"/>
      <c r="V136" s="251"/>
      <c r="W136" s="251"/>
      <c r="X136" s="251"/>
      <c r="Y136" s="251"/>
      <c r="Z136" s="251"/>
      <c r="AA136" s="251"/>
      <c r="AB136" s="251"/>
      <c r="AC136" s="251"/>
      <c r="AD136" s="251"/>
      <c r="AE136" s="251"/>
    </row>
    <row r="137" spans="2:31" x14ac:dyDescent="0.2">
      <c r="B137" s="251"/>
      <c r="C137" s="251"/>
      <c r="D137" s="251"/>
      <c r="E137" s="251"/>
      <c r="F137" s="251"/>
      <c r="G137" s="251"/>
      <c r="H137" s="251"/>
      <c r="I137" s="251"/>
      <c r="J137" s="251"/>
      <c r="K137" s="251"/>
      <c r="L137" s="251"/>
      <c r="M137" s="251"/>
      <c r="N137" s="251"/>
      <c r="O137" s="251"/>
      <c r="P137" s="251"/>
      <c r="Q137" s="251"/>
      <c r="R137" s="251"/>
      <c r="S137" s="251"/>
      <c r="T137" s="251"/>
      <c r="U137" s="251"/>
      <c r="V137" s="251"/>
      <c r="W137" s="251"/>
      <c r="X137" s="251"/>
      <c r="Y137" s="251"/>
      <c r="Z137" s="251"/>
      <c r="AA137" s="251"/>
      <c r="AB137" s="251"/>
      <c r="AC137" s="251"/>
      <c r="AD137" s="251"/>
      <c r="AE137" s="251"/>
    </row>
    <row r="138" spans="2:31" x14ac:dyDescent="0.2">
      <c r="B138" s="251"/>
      <c r="C138" s="251"/>
      <c r="D138" s="251"/>
      <c r="E138" s="251"/>
      <c r="F138" s="251"/>
      <c r="G138" s="251"/>
      <c r="H138" s="251"/>
      <c r="I138" s="251"/>
      <c r="J138" s="251"/>
      <c r="K138" s="251"/>
      <c r="L138" s="251"/>
      <c r="M138" s="251"/>
      <c r="N138" s="251"/>
      <c r="O138" s="251"/>
      <c r="P138" s="251"/>
      <c r="Q138" s="251"/>
      <c r="R138" s="251"/>
      <c r="S138" s="251"/>
      <c r="T138" s="251"/>
      <c r="U138" s="251"/>
      <c r="V138" s="251"/>
      <c r="W138" s="251"/>
      <c r="X138" s="251"/>
      <c r="Y138" s="251"/>
      <c r="Z138" s="251"/>
      <c r="AA138" s="251"/>
      <c r="AB138" s="251"/>
      <c r="AC138" s="251"/>
      <c r="AD138" s="251"/>
      <c r="AE138" s="251"/>
    </row>
    <row r="139" spans="2:31" x14ac:dyDescent="0.2">
      <c r="B139" s="251"/>
      <c r="C139" s="251"/>
      <c r="D139" s="251"/>
      <c r="E139" s="251"/>
      <c r="F139" s="251"/>
      <c r="G139" s="251"/>
      <c r="H139" s="251"/>
      <c r="I139" s="251"/>
      <c r="J139" s="251"/>
      <c r="K139" s="251"/>
      <c r="L139" s="251"/>
      <c r="M139" s="251"/>
      <c r="N139" s="251"/>
      <c r="O139" s="251"/>
      <c r="P139" s="251"/>
      <c r="Q139" s="251"/>
      <c r="R139" s="251"/>
      <c r="S139" s="251"/>
      <c r="T139" s="251"/>
      <c r="U139" s="251"/>
      <c r="V139" s="251"/>
      <c r="W139" s="251"/>
      <c r="X139" s="251"/>
      <c r="Y139" s="251"/>
      <c r="Z139" s="251"/>
      <c r="AA139" s="251"/>
      <c r="AB139" s="251"/>
      <c r="AC139" s="251"/>
      <c r="AD139" s="251"/>
      <c r="AE139" s="251"/>
    </row>
    <row r="140" spans="2:31" x14ac:dyDescent="0.2">
      <c r="B140" s="251"/>
      <c r="C140" s="251"/>
      <c r="D140" s="251"/>
      <c r="E140" s="251"/>
      <c r="F140" s="251"/>
      <c r="G140" s="251"/>
      <c r="H140" s="251"/>
      <c r="I140" s="251"/>
      <c r="J140" s="251"/>
      <c r="K140" s="251"/>
      <c r="L140" s="251"/>
      <c r="M140" s="251"/>
      <c r="N140" s="251"/>
      <c r="O140" s="251"/>
      <c r="P140" s="251"/>
      <c r="Q140" s="251"/>
      <c r="R140" s="251"/>
      <c r="S140" s="251"/>
      <c r="T140" s="251"/>
      <c r="U140" s="251"/>
      <c r="V140" s="251"/>
      <c r="W140" s="251"/>
      <c r="X140" s="251"/>
      <c r="Y140" s="251"/>
      <c r="Z140" s="251"/>
      <c r="AA140" s="251"/>
      <c r="AB140" s="251"/>
      <c r="AC140" s="251"/>
      <c r="AD140" s="251"/>
      <c r="AE140" s="251"/>
    </row>
    <row r="141" spans="2:31" x14ac:dyDescent="0.2">
      <c r="B141" s="251"/>
      <c r="C141" s="251"/>
      <c r="D141" s="251"/>
      <c r="E141" s="251"/>
      <c r="F141" s="251"/>
      <c r="G141" s="251"/>
      <c r="H141" s="251"/>
      <c r="I141" s="251"/>
      <c r="J141" s="251"/>
      <c r="K141" s="251"/>
      <c r="L141" s="251"/>
      <c r="M141" s="251"/>
      <c r="N141" s="251"/>
      <c r="O141" s="251"/>
      <c r="P141" s="251"/>
      <c r="Q141" s="251"/>
      <c r="R141" s="251"/>
      <c r="S141" s="251"/>
      <c r="T141" s="251"/>
      <c r="U141" s="251"/>
      <c r="V141" s="251"/>
      <c r="W141" s="251"/>
      <c r="X141" s="251"/>
      <c r="Y141" s="251"/>
      <c r="Z141" s="251"/>
      <c r="AA141" s="251"/>
      <c r="AB141" s="251"/>
      <c r="AC141" s="251"/>
      <c r="AD141" s="251"/>
      <c r="AE141" s="251"/>
    </row>
    <row r="142" spans="2:31" x14ac:dyDescent="0.2">
      <c r="B142" s="251"/>
      <c r="C142" s="251"/>
      <c r="D142" s="251"/>
      <c r="E142" s="251"/>
      <c r="F142" s="251"/>
      <c r="G142" s="251"/>
      <c r="H142" s="251"/>
      <c r="I142" s="251"/>
      <c r="J142" s="251"/>
      <c r="K142" s="251"/>
      <c r="L142" s="251"/>
      <c r="M142" s="251"/>
      <c r="N142" s="251"/>
      <c r="O142" s="251"/>
      <c r="P142" s="251"/>
      <c r="Q142" s="251"/>
      <c r="R142" s="251"/>
      <c r="S142" s="251"/>
      <c r="T142" s="251"/>
      <c r="U142" s="251"/>
      <c r="V142" s="251"/>
      <c r="W142" s="251"/>
      <c r="X142" s="251"/>
      <c r="Y142" s="251"/>
      <c r="Z142" s="251"/>
      <c r="AA142" s="251"/>
      <c r="AB142" s="251"/>
      <c r="AC142" s="251"/>
      <c r="AD142" s="251"/>
      <c r="AE142" s="251"/>
    </row>
    <row r="143" spans="2:31" x14ac:dyDescent="0.2">
      <c r="B143" s="251"/>
      <c r="C143" s="251"/>
      <c r="D143" s="251"/>
      <c r="E143" s="251"/>
      <c r="F143" s="251"/>
      <c r="G143" s="251"/>
      <c r="H143" s="251"/>
      <c r="I143" s="251"/>
      <c r="J143" s="251"/>
      <c r="K143" s="251"/>
      <c r="L143" s="251"/>
      <c r="M143" s="251"/>
      <c r="N143" s="251"/>
      <c r="O143" s="251"/>
      <c r="P143" s="251"/>
      <c r="Q143" s="251"/>
      <c r="R143" s="251"/>
      <c r="S143" s="251"/>
      <c r="T143" s="251"/>
      <c r="U143" s="251"/>
      <c r="V143" s="251"/>
      <c r="W143" s="251"/>
      <c r="X143" s="251"/>
      <c r="Y143" s="251"/>
      <c r="Z143" s="251"/>
      <c r="AA143" s="251"/>
      <c r="AB143" s="251"/>
      <c r="AC143" s="251"/>
      <c r="AD143" s="251"/>
      <c r="AE143" s="251"/>
    </row>
    <row r="144" spans="2:31" x14ac:dyDescent="0.2">
      <c r="B144" s="251"/>
      <c r="C144" s="251"/>
      <c r="D144" s="251"/>
      <c r="E144" s="251"/>
      <c r="F144" s="251"/>
      <c r="G144" s="251"/>
      <c r="H144" s="251"/>
      <c r="I144" s="251"/>
      <c r="J144" s="251"/>
      <c r="K144" s="251"/>
      <c r="L144" s="251"/>
      <c r="M144" s="251"/>
      <c r="N144" s="251"/>
      <c r="O144" s="251"/>
      <c r="P144" s="251"/>
      <c r="Q144" s="251"/>
      <c r="R144" s="251"/>
      <c r="S144" s="251"/>
      <c r="T144" s="251"/>
      <c r="U144" s="251"/>
      <c r="V144" s="251"/>
      <c r="W144" s="251"/>
      <c r="X144" s="251"/>
      <c r="Y144" s="251"/>
      <c r="Z144" s="251"/>
      <c r="AA144" s="251"/>
      <c r="AB144" s="251"/>
      <c r="AC144" s="251"/>
      <c r="AD144" s="251"/>
      <c r="AE144" s="251"/>
    </row>
    <row r="145" spans="2:31" x14ac:dyDescent="0.2">
      <c r="B145" s="251"/>
      <c r="C145" s="251"/>
      <c r="D145" s="251"/>
      <c r="E145" s="251"/>
      <c r="F145" s="251"/>
      <c r="G145" s="251"/>
      <c r="H145" s="251"/>
      <c r="I145" s="251"/>
      <c r="J145" s="251"/>
      <c r="K145" s="251"/>
      <c r="L145" s="251"/>
      <c r="M145" s="251"/>
      <c r="N145" s="251"/>
      <c r="O145" s="251"/>
      <c r="P145" s="251"/>
      <c r="Q145" s="251"/>
      <c r="R145" s="251"/>
      <c r="S145" s="251"/>
      <c r="T145" s="251"/>
      <c r="U145" s="251"/>
      <c r="V145" s="251"/>
      <c r="W145" s="251"/>
      <c r="X145" s="251"/>
      <c r="Y145" s="251"/>
      <c r="Z145" s="251"/>
      <c r="AA145" s="251"/>
      <c r="AB145" s="251"/>
      <c r="AC145" s="251"/>
      <c r="AD145" s="251"/>
      <c r="AE145" s="251"/>
    </row>
    <row r="146" spans="2:31" x14ac:dyDescent="0.2">
      <c r="B146" s="251"/>
      <c r="C146" s="251"/>
      <c r="D146" s="251"/>
      <c r="E146" s="251"/>
      <c r="F146" s="251"/>
      <c r="G146" s="251"/>
      <c r="H146" s="251"/>
      <c r="I146" s="251"/>
      <c r="J146" s="251"/>
      <c r="K146" s="251"/>
      <c r="L146" s="251"/>
      <c r="M146" s="251"/>
      <c r="N146" s="251"/>
      <c r="O146" s="251"/>
      <c r="P146" s="251"/>
      <c r="Q146" s="251"/>
      <c r="R146" s="251"/>
      <c r="S146" s="251"/>
      <c r="T146" s="251"/>
      <c r="U146" s="251"/>
      <c r="V146" s="251"/>
      <c r="W146" s="251"/>
      <c r="X146" s="251"/>
      <c r="Y146" s="251"/>
      <c r="Z146" s="251"/>
      <c r="AA146" s="251"/>
      <c r="AB146" s="251"/>
      <c r="AC146" s="251"/>
      <c r="AD146" s="251"/>
      <c r="AE146" s="251"/>
    </row>
    <row r="147" spans="2:31" x14ac:dyDescent="0.2">
      <c r="B147" s="251"/>
      <c r="C147" s="251"/>
      <c r="D147" s="251"/>
      <c r="E147" s="251"/>
      <c r="F147" s="251"/>
      <c r="G147" s="251"/>
      <c r="H147" s="251"/>
      <c r="I147" s="251"/>
      <c r="J147" s="251"/>
      <c r="K147" s="251"/>
      <c r="L147" s="251"/>
      <c r="M147" s="251"/>
      <c r="N147" s="251"/>
      <c r="O147" s="251"/>
      <c r="P147" s="251"/>
      <c r="Q147" s="251"/>
      <c r="R147" s="251"/>
      <c r="S147" s="251"/>
      <c r="T147" s="251"/>
      <c r="U147" s="251"/>
      <c r="V147" s="251"/>
      <c r="W147" s="251"/>
      <c r="X147" s="251"/>
      <c r="Y147" s="251"/>
      <c r="Z147" s="251"/>
      <c r="AA147" s="251"/>
      <c r="AB147" s="251"/>
      <c r="AC147" s="251"/>
      <c r="AD147" s="251"/>
      <c r="AE147" s="251"/>
    </row>
    <row r="148" spans="2:31" x14ac:dyDescent="0.2">
      <c r="B148" s="251"/>
      <c r="C148" s="251"/>
      <c r="D148" s="251"/>
      <c r="E148" s="251"/>
      <c r="F148" s="251"/>
      <c r="G148" s="251"/>
      <c r="H148" s="251"/>
      <c r="I148" s="251"/>
      <c r="J148" s="251"/>
      <c r="K148" s="251"/>
      <c r="L148" s="251"/>
      <c r="M148" s="251"/>
      <c r="N148" s="251"/>
      <c r="O148" s="251"/>
      <c r="P148" s="251"/>
      <c r="Q148" s="251"/>
      <c r="R148" s="251"/>
      <c r="S148" s="251"/>
      <c r="T148" s="251"/>
      <c r="U148" s="251"/>
      <c r="V148" s="251"/>
      <c r="W148" s="251"/>
      <c r="X148" s="251"/>
      <c r="Y148" s="251"/>
      <c r="Z148" s="251"/>
      <c r="AA148" s="251"/>
      <c r="AB148" s="251"/>
      <c r="AC148" s="251"/>
      <c r="AD148" s="251"/>
      <c r="AE148" s="251"/>
    </row>
    <row r="149" spans="2:31" x14ac:dyDescent="0.2">
      <c r="B149" s="251"/>
      <c r="C149" s="251"/>
      <c r="D149" s="251"/>
      <c r="E149" s="251"/>
      <c r="F149" s="251"/>
      <c r="G149" s="251"/>
      <c r="H149" s="251"/>
      <c r="I149" s="251"/>
      <c r="J149" s="251"/>
      <c r="K149" s="251"/>
      <c r="L149" s="251"/>
      <c r="M149" s="251"/>
      <c r="N149" s="251"/>
      <c r="O149" s="251"/>
      <c r="P149" s="251"/>
      <c r="Q149" s="251"/>
      <c r="R149" s="251"/>
      <c r="S149" s="251"/>
      <c r="T149" s="251"/>
      <c r="U149" s="251"/>
      <c r="V149" s="251"/>
      <c r="W149" s="251"/>
      <c r="X149" s="251"/>
      <c r="Y149" s="251"/>
      <c r="Z149" s="251"/>
      <c r="AA149" s="251"/>
      <c r="AB149" s="251"/>
      <c r="AC149" s="251"/>
      <c r="AD149" s="251"/>
      <c r="AE149" s="251"/>
    </row>
    <row r="150" spans="2:31" x14ac:dyDescent="0.2">
      <c r="B150" s="251"/>
      <c r="C150" s="251"/>
      <c r="D150" s="251"/>
      <c r="E150" s="251"/>
      <c r="F150" s="251"/>
      <c r="G150" s="251"/>
      <c r="H150" s="251"/>
      <c r="I150" s="251"/>
      <c r="J150" s="251"/>
      <c r="K150" s="251"/>
      <c r="L150" s="251"/>
      <c r="M150" s="251"/>
      <c r="N150" s="251"/>
      <c r="O150" s="251"/>
      <c r="P150" s="251"/>
      <c r="Q150" s="251"/>
      <c r="R150" s="251"/>
      <c r="S150" s="251"/>
      <c r="T150" s="251"/>
      <c r="U150" s="251"/>
      <c r="V150" s="251"/>
      <c r="W150" s="251"/>
      <c r="X150" s="251"/>
      <c r="Y150" s="251"/>
      <c r="Z150" s="251"/>
      <c r="AA150" s="251"/>
      <c r="AB150" s="251"/>
      <c r="AC150" s="251"/>
      <c r="AD150" s="251"/>
      <c r="AE150" s="251"/>
    </row>
    <row r="151" spans="2:31" x14ac:dyDescent="0.2">
      <c r="B151" s="251"/>
      <c r="C151" s="251"/>
      <c r="D151" s="251"/>
      <c r="E151" s="251"/>
      <c r="F151" s="251"/>
      <c r="G151" s="251"/>
      <c r="H151" s="251"/>
      <c r="I151" s="251"/>
      <c r="J151" s="251"/>
      <c r="K151" s="251"/>
      <c r="L151" s="251"/>
      <c r="M151" s="251"/>
      <c r="N151" s="251"/>
      <c r="O151" s="251"/>
      <c r="P151" s="251"/>
      <c r="Q151" s="251"/>
      <c r="R151" s="251"/>
      <c r="S151" s="251"/>
      <c r="T151" s="251"/>
      <c r="U151" s="251"/>
      <c r="V151" s="251"/>
      <c r="W151" s="251"/>
      <c r="X151" s="251"/>
      <c r="Y151" s="251"/>
      <c r="Z151" s="251"/>
      <c r="AA151" s="251"/>
      <c r="AB151" s="251"/>
      <c r="AC151" s="251"/>
      <c r="AD151" s="251"/>
      <c r="AE151" s="251"/>
    </row>
    <row r="152" spans="2:31" x14ac:dyDescent="0.2">
      <c r="B152" s="251"/>
      <c r="C152" s="251"/>
      <c r="D152" s="251"/>
      <c r="E152" s="251"/>
      <c r="F152" s="251"/>
      <c r="G152" s="251"/>
      <c r="H152" s="251"/>
      <c r="I152" s="251"/>
      <c r="J152" s="251"/>
      <c r="K152" s="251"/>
      <c r="L152" s="251"/>
      <c r="M152" s="251"/>
      <c r="N152" s="251"/>
      <c r="O152" s="251"/>
      <c r="P152" s="251"/>
      <c r="Q152" s="251"/>
      <c r="R152" s="251"/>
      <c r="S152" s="251"/>
      <c r="T152" s="251"/>
      <c r="U152" s="251"/>
      <c r="V152" s="251"/>
      <c r="W152" s="251"/>
      <c r="X152" s="251"/>
      <c r="Y152" s="251"/>
      <c r="Z152" s="251"/>
      <c r="AA152" s="251"/>
      <c r="AB152" s="251"/>
      <c r="AC152" s="251"/>
      <c r="AD152" s="251"/>
      <c r="AE152" s="251"/>
    </row>
    <row r="153" spans="2:31" x14ac:dyDescent="0.2">
      <c r="B153" s="251"/>
      <c r="C153" s="251"/>
      <c r="D153" s="251"/>
      <c r="E153" s="251"/>
      <c r="F153" s="251"/>
      <c r="G153" s="251"/>
      <c r="H153" s="251"/>
      <c r="I153" s="251"/>
      <c r="J153" s="251"/>
      <c r="K153" s="251"/>
      <c r="L153" s="251"/>
      <c r="M153" s="251"/>
      <c r="N153" s="251"/>
      <c r="O153" s="251"/>
      <c r="P153" s="251"/>
      <c r="Q153" s="251"/>
      <c r="R153" s="251"/>
      <c r="S153" s="251"/>
      <c r="T153" s="251"/>
      <c r="U153" s="251"/>
      <c r="V153" s="251"/>
      <c r="W153" s="251"/>
      <c r="X153" s="251"/>
      <c r="Y153" s="251"/>
      <c r="Z153" s="251"/>
      <c r="AA153" s="251"/>
      <c r="AB153" s="251"/>
      <c r="AC153" s="251"/>
      <c r="AD153" s="251"/>
      <c r="AE153" s="251"/>
    </row>
    <row r="154" spans="2:31" x14ac:dyDescent="0.2">
      <c r="B154" s="251"/>
      <c r="C154" s="251"/>
      <c r="D154" s="251"/>
      <c r="E154" s="251"/>
      <c r="F154" s="251"/>
      <c r="G154" s="251"/>
      <c r="H154" s="251"/>
      <c r="I154" s="251"/>
      <c r="J154" s="251"/>
      <c r="K154" s="251"/>
      <c r="L154" s="251"/>
      <c r="M154" s="251"/>
      <c r="N154" s="251"/>
      <c r="O154" s="251"/>
      <c r="P154" s="251"/>
      <c r="Q154" s="251"/>
      <c r="R154" s="251"/>
      <c r="S154" s="251"/>
      <c r="T154" s="251"/>
      <c r="U154" s="251"/>
      <c r="V154" s="251"/>
      <c r="W154" s="251"/>
      <c r="X154" s="251"/>
      <c r="Y154" s="251"/>
      <c r="Z154" s="251"/>
      <c r="AA154" s="251"/>
      <c r="AB154" s="251"/>
      <c r="AC154" s="251"/>
      <c r="AD154" s="251"/>
      <c r="AE154" s="251"/>
    </row>
    <row r="155" spans="2:31" x14ac:dyDescent="0.2">
      <c r="B155" s="251"/>
      <c r="C155" s="251"/>
      <c r="D155" s="251"/>
      <c r="E155" s="251"/>
      <c r="F155" s="251"/>
      <c r="G155" s="251"/>
      <c r="H155" s="251"/>
      <c r="I155" s="251"/>
      <c r="J155" s="251"/>
      <c r="K155" s="251"/>
      <c r="L155" s="251"/>
      <c r="M155" s="251"/>
      <c r="N155" s="251"/>
      <c r="O155" s="251"/>
      <c r="P155" s="251"/>
      <c r="Q155" s="251"/>
      <c r="R155" s="251"/>
      <c r="S155" s="251"/>
      <c r="T155" s="251"/>
      <c r="U155" s="251"/>
      <c r="V155" s="251"/>
      <c r="W155" s="251"/>
      <c r="X155" s="251"/>
      <c r="Y155" s="251"/>
      <c r="Z155" s="251"/>
      <c r="AA155" s="251"/>
      <c r="AB155" s="251"/>
      <c r="AC155" s="251"/>
      <c r="AD155" s="251"/>
      <c r="AE155" s="251"/>
    </row>
    <row r="156" spans="2:31" x14ac:dyDescent="0.2">
      <c r="B156" s="251"/>
      <c r="C156" s="251"/>
      <c r="D156" s="251"/>
      <c r="E156" s="251"/>
      <c r="F156" s="251"/>
      <c r="G156" s="251"/>
      <c r="H156" s="251"/>
      <c r="I156" s="251"/>
      <c r="J156" s="251"/>
      <c r="K156" s="251"/>
      <c r="L156" s="251"/>
      <c r="M156" s="251"/>
      <c r="N156" s="251"/>
      <c r="O156" s="251"/>
      <c r="P156" s="251"/>
      <c r="Q156" s="251"/>
      <c r="R156" s="251"/>
      <c r="S156" s="251"/>
      <c r="T156" s="251"/>
      <c r="U156" s="251"/>
      <c r="V156" s="251"/>
      <c r="W156" s="251"/>
      <c r="X156" s="251"/>
      <c r="Y156" s="251"/>
      <c r="Z156" s="251"/>
      <c r="AA156" s="251"/>
      <c r="AB156" s="251"/>
      <c r="AC156" s="251"/>
      <c r="AD156" s="251"/>
      <c r="AE156" s="251"/>
    </row>
    <row r="157" spans="2:31" x14ac:dyDescent="0.2">
      <c r="B157" s="251"/>
      <c r="C157" s="251"/>
      <c r="D157" s="251"/>
      <c r="E157" s="251"/>
      <c r="F157" s="251"/>
      <c r="G157" s="251"/>
      <c r="H157" s="251"/>
      <c r="I157" s="251"/>
      <c r="J157" s="251"/>
      <c r="K157" s="251"/>
      <c r="L157" s="251"/>
      <c r="M157" s="251"/>
      <c r="N157" s="251"/>
      <c r="O157" s="251"/>
      <c r="P157" s="251"/>
      <c r="Q157" s="251"/>
      <c r="R157" s="251"/>
      <c r="S157" s="251"/>
      <c r="T157" s="251"/>
      <c r="U157" s="251"/>
      <c r="V157" s="251"/>
      <c r="W157" s="251"/>
      <c r="X157" s="251"/>
      <c r="Y157" s="251"/>
      <c r="Z157" s="251"/>
      <c r="AA157" s="251"/>
      <c r="AB157" s="251"/>
      <c r="AC157" s="251"/>
      <c r="AD157" s="251"/>
      <c r="AE157" s="251"/>
    </row>
    <row r="158" spans="2:31" x14ac:dyDescent="0.2">
      <c r="B158" s="251"/>
      <c r="C158" s="251"/>
      <c r="D158" s="251"/>
      <c r="E158" s="251"/>
      <c r="F158" s="251"/>
      <c r="G158" s="251"/>
      <c r="H158" s="251"/>
      <c r="I158" s="251"/>
      <c r="J158" s="251"/>
      <c r="K158" s="251"/>
      <c r="L158" s="251"/>
      <c r="M158" s="251"/>
      <c r="N158" s="251"/>
      <c r="O158" s="251"/>
      <c r="P158" s="251"/>
      <c r="Q158" s="251"/>
      <c r="R158" s="251"/>
      <c r="S158" s="251"/>
      <c r="T158" s="251"/>
      <c r="U158" s="251"/>
      <c r="V158" s="251"/>
      <c r="W158" s="251"/>
      <c r="X158" s="251"/>
      <c r="Y158" s="251"/>
      <c r="Z158" s="251"/>
      <c r="AA158" s="251"/>
      <c r="AB158" s="251"/>
      <c r="AC158" s="251"/>
      <c r="AD158" s="251"/>
      <c r="AE158" s="251"/>
    </row>
    <row r="159" spans="2:31" x14ac:dyDescent="0.2">
      <c r="B159" s="251"/>
      <c r="C159" s="251"/>
      <c r="D159" s="251"/>
      <c r="E159" s="251"/>
      <c r="F159" s="251"/>
      <c r="G159" s="251"/>
      <c r="H159" s="251"/>
      <c r="I159" s="251"/>
      <c r="J159" s="251"/>
      <c r="K159" s="251"/>
      <c r="L159" s="251"/>
      <c r="M159" s="251"/>
      <c r="N159" s="251"/>
      <c r="O159" s="251"/>
      <c r="P159" s="251"/>
      <c r="Q159" s="251"/>
      <c r="R159" s="251"/>
      <c r="S159" s="251"/>
      <c r="T159" s="251"/>
      <c r="U159" s="251"/>
      <c r="V159" s="251"/>
      <c r="W159" s="251"/>
      <c r="X159" s="251"/>
      <c r="Y159" s="251"/>
      <c r="Z159" s="251"/>
      <c r="AA159" s="251"/>
      <c r="AB159" s="251"/>
      <c r="AC159" s="251"/>
      <c r="AD159" s="251"/>
      <c r="AE159" s="251"/>
    </row>
    <row r="160" spans="2:31" x14ac:dyDescent="0.2">
      <c r="B160" s="251"/>
      <c r="C160" s="251"/>
      <c r="D160" s="251"/>
      <c r="E160" s="251"/>
      <c r="F160" s="251"/>
      <c r="G160" s="251"/>
      <c r="H160" s="251"/>
      <c r="I160" s="251"/>
      <c r="J160" s="251"/>
      <c r="K160" s="251"/>
      <c r="L160" s="251"/>
      <c r="M160" s="251"/>
      <c r="N160" s="251"/>
      <c r="O160" s="251"/>
      <c r="P160" s="251"/>
      <c r="Q160" s="251"/>
      <c r="R160" s="251"/>
      <c r="S160" s="251"/>
      <c r="T160" s="251"/>
      <c r="U160" s="251"/>
      <c r="V160" s="251"/>
      <c r="W160" s="251"/>
      <c r="X160" s="251"/>
      <c r="Y160" s="251"/>
      <c r="Z160" s="251"/>
      <c r="AA160" s="251"/>
      <c r="AB160" s="251"/>
      <c r="AC160" s="251"/>
      <c r="AD160" s="251"/>
      <c r="AE160" s="251"/>
    </row>
    <row r="161" spans="2:31" x14ac:dyDescent="0.2">
      <c r="B161" s="251"/>
      <c r="C161" s="251"/>
      <c r="D161" s="251"/>
      <c r="E161" s="251"/>
      <c r="F161" s="251"/>
      <c r="G161" s="251"/>
      <c r="H161" s="251"/>
      <c r="I161" s="251"/>
      <c r="J161" s="251"/>
      <c r="K161" s="251"/>
      <c r="L161" s="251"/>
      <c r="M161" s="251"/>
      <c r="N161" s="251"/>
      <c r="O161" s="251"/>
      <c r="P161" s="251"/>
      <c r="Q161" s="251"/>
      <c r="R161" s="251"/>
      <c r="S161" s="251"/>
      <c r="T161" s="251"/>
      <c r="U161" s="251"/>
      <c r="V161" s="251"/>
      <c r="W161" s="251"/>
      <c r="X161" s="251"/>
      <c r="Y161" s="251"/>
      <c r="Z161" s="251"/>
      <c r="AA161" s="251"/>
      <c r="AB161" s="251"/>
      <c r="AC161" s="251"/>
      <c r="AD161" s="251"/>
      <c r="AE161" s="251"/>
    </row>
    <row r="162" spans="2:31" x14ac:dyDescent="0.2">
      <c r="B162" s="251"/>
      <c r="C162" s="251"/>
      <c r="D162" s="251"/>
      <c r="E162" s="251"/>
      <c r="F162" s="251"/>
      <c r="G162" s="251"/>
      <c r="H162" s="251"/>
      <c r="I162" s="251"/>
      <c r="J162" s="251"/>
      <c r="K162" s="251"/>
      <c r="L162" s="251"/>
      <c r="M162" s="251"/>
      <c r="N162" s="251"/>
      <c r="O162" s="251"/>
      <c r="P162" s="251"/>
      <c r="Q162" s="251"/>
      <c r="R162" s="251"/>
      <c r="S162" s="251"/>
      <c r="T162" s="251"/>
      <c r="U162" s="251"/>
      <c r="V162" s="251"/>
      <c r="W162" s="251"/>
      <c r="X162" s="251"/>
      <c r="Y162" s="251"/>
      <c r="Z162" s="251"/>
      <c r="AA162" s="251"/>
      <c r="AB162" s="251"/>
      <c r="AC162" s="251"/>
      <c r="AD162" s="251"/>
      <c r="AE162" s="251"/>
    </row>
    <row r="163" spans="2:31" x14ac:dyDescent="0.2">
      <c r="B163" s="251"/>
      <c r="C163" s="251"/>
      <c r="D163" s="251"/>
      <c r="E163" s="251"/>
      <c r="F163" s="251"/>
      <c r="G163" s="251"/>
      <c r="H163" s="251"/>
      <c r="I163" s="251"/>
      <c r="J163" s="251"/>
      <c r="K163" s="251"/>
      <c r="L163" s="251"/>
      <c r="M163" s="251"/>
      <c r="N163" s="251"/>
      <c r="O163" s="251"/>
      <c r="P163" s="251"/>
      <c r="Q163" s="251"/>
      <c r="R163" s="251"/>
      <c r="S163" s="251"/>
      <c r="T163" s="251"/>
      <c r="U163" s="251"/>
      <c r="V163" s="251"/>
      <c r="W163" s="251"/>
      <c r="X163" s="251"/>
      <c r="Y163" s="251"/>
      <c r="Z163" s="251"/>
      <c r="AA163" s="251"/>
      <c r="AB163" s="251"/>
      <c r="AC163" s="251"/>
      <c r="AD163" s="251"/>
      <c r="AE163" s="251"/>
    </row>
    <row r="164" spans="2:31" x14ac:dyDescent="0.2">
      <c r="B164" s="251"/>
      <c r="C164" s="251"/>
      <c r="D164" s="251"/>
      <c r="E164" s="251"/>
      <c r="F164" s="251"/>
      <c r="G164" s="251"/>
      <c r="H164" s="251"/>
      <c r="I164" s="251"/>
      <c r="J164" s="251"/>
      <c r="K164" s="251"/>
      <c r="L164" s="251"/>
      <c r="M164" s="251"/>
      <c r="N164" s="251"/>
      <c r="O164" s="251"/>
      <c r="P164" s="251"/>
      <c r="Q164" s="251"/>
      <c r="R164" s="251"/>
      <c r="S164" s="251"/>
      <c r="T164" s="251"/>
      <c r="U164" s="251"/>
      <c r="V164" s="251"/>
      <c r="W164" s="251"/>
      <c r="X164" s="251"/>
      <c r="Y164" s="251"/>
      <c r="Z164" s="251"/>
      <c r="AA164" s="251"/>
      <c r="AB164" s="251"/>
      <c r="AC164" s="251"/>
      <c r="AD164" s="251"/>
      <c r="AE164" s="251"/>
    </row>
    <row r="165" spans="2:31" x14ac:dyDescent="0.2">
      <c r="B165" s="251"/>
      <c r="C165" s="251"/>
      <c r="D165" s="251"/>
      <c r="E165" s="251"/>
      <c r="F165" s="251"/>
      <c r="G165" s="251"/>
      <c r="H165" s="251"/>
      <c r="I165" s="251"/>
      <c r="J165" s="251"/>
      <c r="K165" s="251"/>
      <c r="L165" s="251"/>
      <c r="M165" s="251"/>
      <c r="N165" s="251"/>
      <c r="O165" s="251"/>
      <c r="P165" s="251"/>
      <c r="Q165" s="251"/>
      <c r="R165" s="251"/>
      <c r="S165" s="251"/>
      <c r="T165" s="251"/>
      <c r="U165" s="251"/>
      <c r="V165" s="251"/>
      <c r="W165" s="251"/>
      <c r="X165" s="251"/>
      <c r="Y165" s="251"/>
      <c r="Z165" s="251"/>
      <c r="AA165" s="251"/>
      <c r="AB165" s="251"/>
      <c r="AC165" s="251"/>
      <c r="AD165" s="251"/>
      <c r="AE165" s="251"/>
    </row>
    <row r="166" spans="2:31" x14ac:dyDescent="0.2">
      <c r="B166" s="251"/>
      <c r="C166" s="251"/>
      <c r="D166" s="251"/>
      <c r="E166" s="251"/>
      <c r="F166" s="251"/>
      <c r="G166" s="251"/>
      <c r="H166" s="251"/>
      <c r="I166" s="251"/>
      <c r="J166" s="251"/>
      <c r="K166" s="251"/>
      <c r="L166" s="251"/>
      <c r="M166" s="251"/>
      <c r="N166" s="251"/>
      <c r="O166" s="251"/>
      <c r="P166" s="251"/>
      <c r="Q166" s="251"/>
      <c r="R166" s="251"/>
      <c r="S166" s="251"/>
      <c r="T166" s="251"/>
      <c r="U166" s="251"/>
      <c r="V166" s="251"/>
      <c r="W166" s="251"/>
      <c r="X166" s="251"/>
      <c r="Y166" s="251"/>
      <c r="Z166" s="251"/>
      <c r="AA166" s="251"/>
      <c r="AB166" s="251"/>
      <c r="AC166" s="251"/>
      <c r="AD166" s="251"/>
      <c r="AE166" s="251"/>
    </row>
    <row r="167" spans="2:31" x14ac:dyDescent="0.2">
      <c r="B167" s="251"/>
      <c r="C167" s="251"/>
      <c r="D167" s="251"/>
      <c r="E167" s="251"/>
      <c r="F167" s="251"/>
      <c r="G167" s="251"/>
      <c r="H167" s="251"/>
      <c r="I167" s="251"/>
      <c r="J167" s="251"/>
      <c r="K167" s="251"/>
      <c r="L167" s="251"/>
      <c r="M167" s="251"/>
      <c r="N167" s="251"/>
      <c r="O167" s="251"/>
      <c r="P167" s="251"/>
      <c r="Q167" s="251"/>
      <c r="R167" s="251"/>
      <c r="S167" s="251"/>
      <c r="T167" s="251"/>
      <c r="U167" s="251"/>
      <c r="V167" s="251"/>
      <c r="W167" s="251"/>
      <c r="X167" s="251"/>
      <c r="Y167" s="251"/>
      <c r="Z167" s="251"/>
      <c r="AA167" s="251"/>
      <c r="AB167" s="251"/>
      <c r="AC167" s="251"/>
      <c r="AD167" s="251"/>
      <c r="AE167" s="251"/>
    </row>
    <row r="168" spans="2:31" x14ac:dyDescent="0.2">
      <c r="B168" s="251"/>
      <c r="C168" s="251"/>
      <c r="D168" s="251"/>
      <c r="E168" s="251"/>
      <c r="F168" s="251"/>
      <c r="G168" s="251"/>
      <c r="H168" s="251"/>
      <c r="I168" s="251"/>
      <c r="J168" s="251"/>
      <c r="K168" s="251"/>
      <c r="L168" s="251"/>
      <c r="M168" s="251"/>
      <c r="N168" s="251"/>
      <c r="O168" s="251"/>
      <c r="P168" s="251"/>
      <c r="Q168" s="251"/>
      <c r="R168" s="251"/>
      <c r="S168" s="251"/>
      <c r="T168" s="251"/>
      <c r="U168" s="251"/>
      <c r="V168" s="251"/>
      <c r="W168" s="251"/>
      <c r="X168" s="251"/>
      <c r="Y168" s="251"/>
      <c r="Z168" s="251"/>
      <c r="AA168" s="251"/>
      <c r="AB168" s="251"/>
      <c r="AC168" s="251"/>
      <c r="AD168" s="251"/>
      <c r="AE168" s="251"/>
    </row>
    <row r="169" spans="2:31" x14ac:dyDescent="0.2">
      <c r="B169" s="251"/>
      <c r="C169" s="251"/>
      <c r="D169" s="251"/>
      <c r="E169" s="251"/>
      <c r="F169" s="251"/>
      <c r="G169" s="251"/>
      <c r="H169" s="251"/>
      <c r="I169" s="251"/>
      <c r="J169" s="251"/>
      <c r="K169" s="251"/>
      <c r="L169" s="251"/>
      <c r="M169" s="251"/>
      <c r="N169" s="251"/>
      <c r="O169" s="251"/>
      <c r="P169" s="251"/>
      <c r="Q169" s="251"/>
      <c r="R169" s="251"/>
      <c r="S169" s="251"/>
      <c r="T169" s="251"/>
      <c r="U169" s="251"/>
      <c r="V169" s="251"/>
      <c r="W169" s="251"/>
      <c r="X169" s="251"/>
      <c r="Y169" s="251"/>
      <c r="Z169" s="251"/>
      <c r="AA169" s="251"/>
      <c r="AB169" s="251"/>
      <c r="AC169" s="251"/>
      <c r="AD169" s="251"/>
      <c r="AE169" s="251"/>
    </row>
    <row r="170" spans="2:31" x14ac:dyDescent="0.2">
      <c r="B170" s="251"/>
      <c r="C170" s="251"/>
      <c r="D170" s="251"/>
      <c r="E170" s="251"/>
      <c r="F170" s="251"/>
      <c r="G170" s="251"/>
      <c r="H170" s="251"/>
      <c r="I170" s="251"/>
      <c r="J170" s="251"/>
      <c r="K170" s="251"/>
      <c r="L170" s="251"/>
      <c r="M170" s="251"/>
      <c r="N170" s="251"/>
      <c r="O170" s="251"/>
      <c r="P170" s="251"/>
      <c r="Q170" s="251"/>
      <c r="R170" s="251"/>
      <c r="S170" s="251"/>
      <c r="T170" s="251"/>
      <c r="U170" s="251"/>
      <c r="V170" s="251"/>
      <c r="W170" s="251"/>
      <c r="X170" s="251"/>
      <c r="Y170" s="251"/>
      <c r="Z170" s="251"/>
      <c r="AA170" s="251"/>
      <c r="AB170" s="251"/>
      <c r="AC170" s="251"/>
      <c r="AD170" s="251"/>
      <c r="AE170" s="251"/>
    </row>
    <row r="171" spans="2:31" x14ac:dyDescent="0.2">
      <c r="B171" s="251"/>
      <c r="C171" s="251"/>
      <c r="D171" s="251"/>
      <c r="E171" s="251"/>
      <c r="F171" s="251"/>
      <c r="G171" s="251"/>
      <c r="H171" s="251"/>
      <c r="I171" s="251"/>
      <c r="J171" s="251"/>
      <c r="K171" s="251"/>
      <c r="L171" s="251"/>
      <c r="M171" s="251"/>
      <c r="N171" s="251"/>
      <c r="O171" s="251"/>
      <c r="P171" s="251"/>
      <c r="Q171" s="251"/>
      <c r="R171" s="251"/>
      <c r="S171" s="251"/>
      <c r="T171" s="251"/>
      <c r="U171" s="251"/>
      <c r="V171" s="251"/>
      <c r="W171" s="251"/>
      <c r="X171" s="251"/>
      <c r="Y171" s="251"/>
      <c r="Z171" s="251"/>
      <c r="AA171" s="251"/>
      <c r="AB171" s="251"/>
      <c r="AC171" s="251"/>
      <c r="AD171" s="251"/>
      <c r="AE171" s="251"/>
    </row>
    <row r="172" spans="2:31" x14ac:dyDescent="0.2">
      <c r="B172" s="251"/>
      <c r="C172" s="251"/>
      <c r="D172" s="251"/>
      <c r="E172" s="251"/>
      <c r="F172" s="251"/>
      <c r="G172" s="251"/>
      <c r="H172" s="251"/>
      <c r="I172" s="251"/>
      <c r="J172" s="251"/>
      <c r="K172" s="251"/>
      <c r="L172" s="251"/>
      <c r="M172" s="251"/>
      <c r="N172" s="251"/>
      <c r="O172" s="251"/>
      <c r="P172" s="251"/>
      <c r="Q172" s="251"/>
      <c r="R172" s="251"/>
      <c r="S172" s="251"/>
      <c r="T172" s="251"/>
      <c r="U172" s="251"/>
      <c r="V172" s="251"/>
      <c r="W172" s="251"/>
      <c r="X172" s="251"/>
      <c r="Y172" s="251"/>
      <c r="Z172" s="251"/>
      <c r="AA172" s="251"/>
      <c r="AB172" s="251"/>
      <c r="AC172" s="251"/>
      <c r="AD172" s="251"/>
      <c r="AE172" s="251"/>
    </row>
    <row r="173" spans="2:31" x14ac:dyDescent="0.2">
      <c r="B173" s="251"/>
      <c r="C173" s="251"/>
      <c r="D173" s="251"/>
      <c r="E173" s="251"/>
      <c r="F173" s="251"/>
      <c r="G173" s="251"/>
      <c r="H173" s="251"/>
      <c r="I173" s="251"/>
      <c r="J173" s="251"/>
      <c r="K173" s="251"/>
      <c r="L173" s="251"/>
      <c r="M173" s="251"/>
      <c r="N173" s="251"/>
      <c r="O173" s="251"/>
      <c r="P173" s="251"/>
      <c r="Q173" s="251"/>
      <c r="R173" s="251"/>
      <c r="S173" s="251"/>
      <c r="T173" s="251"/>
      <c r="U173" s="251"/>
      <c r="V173" s="251"/>
      <c r="W173" s="251"/>
      <c r="X173" s="251"/>
      <c r="Y173" s="251"/>
      <c r="Z173" s="251"/>
      <c r="AA173" s="251"/>
      <c r="AB173" s="251"/>
      <c r="AC173" s="251"/>
      <c r="AD173" s="251"/>
      <c r="AE173" s="251"/>
    </row>
    <row r="174" spans="2:31" x14ac:dyDescent="0.2">
      <c r="B174" s="251"/>
      <c r="C174" s="251"/>
      <c r="D174" s="251"/>
      <c r="E174" s="251"/>
      <c r="F174" s="251"/>
      <c r="G174" s="251"/>
      <c r="H174" s="251"/>
      <c r="I174" s="251"/>
      <c r="J174" s="251"/>
      <c r="K174" s="251"/>
      <c r="L174" s="251"/>
      <c r="M174" s="251"/>
      <c r="N174" s="251"/>
      <c r="O174" s="251"/>
      <c r="P174" s="251"/>
      <c r="Q174" s="251"/>
      <c r="R174" s="251"/>
      <c r="S174" s="251"/>
      <c r="T174" s="251"/>
      <c r="U174" s="251"/>
      <c r="V174" s="251"/>
      <c r="W174" s="251"/>
      <c r="X174" s="251"/>
      <c r="Y174" s="251"/>
      <c r="Z174" s="251"/>
      <c r="AA174" s="251"/>
      <c r="AB174" s="251"/>
      <c r="AC174" s="251"/>
      <c r="AD174" s="251"/>
      <c r="AE174" s="251"/>
    </row>
    <row r="175" spans="2:31" x14ac:dyDescent="0.2">
      <c r="B175" s="251"/>
      <c r="C175" s="251"/>
      <c r="D175" s="251"/>
      <c r="E175" s="251"/>
      <c r="F175" s="251"/>
      <c r="G175" s="251"/>
      <c r="H175" s="251"/>
      <c r="I175" s="251"/>
      <c r="J175" s="251"/>
      <c r="K175" s="251"/>
      <c r="L175" s="251"/>
      <c r="M175" s="251"/>
      <c r="N175" s="251"/>
      <c r="O175" s="251"/>
      <c r="P175" s="251"/>
      <c r="Q175" s="251"/>
      <c r="R175" s="251"/>
      <c r="S175" s="251"/>
      <c r="T175" s="251"/>
      <c r="U175" s="251"/>
      <c r="V175" s="251"/>
      <c r="W175" s="251"/>
      <c r="X175" s="251"/>
      <c r="Y175" s="251"/>
      <c r="Z175" s="251"/>
      <c r="AA175" s="251"/>
      <c r="AB175" s="251"/>
      <c r="AC175" s="251"/>
      <c r="AD175" s="251"/>
      <c r="AE175" s="251"/>
    </row>
    <row r="176" spans="2:31" x14ac:dyDescent="0.2">
      <c r="B176" s="251"/>
      <c r="C176" s="251"/>
      <c r="D176" s="251"/>
      <c r="E176" s="251"/>
      <c r="F176" s="251"/>
      <c r="G176" s="251"/>
      <c r="H176" s="251"/>
      <c r="I176" s="251"/>
      <c r="J176" s="251"/>
      <c r="K176" s="251"/>
      <c r="L176" s="251"/>
      <c r="M176" s="251"/>
      <c r="N176" s="251"/>
      <c r="O176" s="251"/>
      <c r="P176" s="251"/>
      <c r="Q176" s="251"/>
      <c r="R176" s="251"/>
      <c r="S176" s="251"/>
      <c r="T176" s="251"/>
      <c r="U176" s="251"/>
      <c r="V176" s="251"/>
      <c r="W176" s="251"/>
      <c r="X176" s="251"/>
      <c r="Y176" s="251"/>
      <c r="Z176" s="251"/>
      <c r="AA176" s="251"/>
      <c r="AB176" s="251"/>
      <c r="AC176" s="251"/>
      <c r="AD176" s="251"/>
      <c r="AE176" s="251"/>
    </row>
    <row r="177" spans="2:31" x14ac:dyDescent="0.2">
      <c r="B177" s="251"/>
      <c r="C177" s="251"/>
      <c r="D177" s="251"/>
      <c r="E177" s="251"/>
      <c r="F177" s="251"/>
      <c r="G177" s="251"/>
      <c r="H177" s="251"/>
      <c r="I177" s="251"/>
      <c r="J177" s="251"/>
      <c r="K177" s="251"/>
      <c r="L177" s="251"/>
      <c r="M177" s="251"/>
      <c r="N177" s="251"/>
      <c r="O177" s="251"/>
      <c r="P177" s="251"/>
      <c r="Q177" s="251"/>
      <c r="R177" s="251"/>
      <c r="S177" s="251"/>
      <c r="T177" s="251"/>
      <c r="U177" s="251"/>
      <c r="V177" s="251"/>
      <c r="W177" s="251"/>
      <c r="X177" s="251"/>
      <c r="Y177" s="251"/>
      <c r="Z177" s="251"/>
      <c r="AA177" s="251"/>
      <c r="AB177" s="251"/>
      <c r="AC177" s="251"/>
      <c r="AD177" s="251"/>
      <c r="AE177" s="251"/>
    </row>
    <row r="178" spans="2:31" x14ac:dyDescent="0.2">
      <c r="B178" s="251"/>
      <c r="C178" s="251"/>
      <c r="D178" s="251"/>
      <c r="E178" s="251"/>
      <c r="F178" s="251"/>
      <c r="G178" s="251"/>
      <c r="H178" s="251"/>
      <c r="I178" s="251"/>
      <c r="J178" s="251"/>
      <c r="K178" s="251"/>
      <c r="L178" s="251"/>
      <c r="M178" s="251"/>
      <c r="N178" s="251"/>
      <c r="O178" s="251"/>
      <c r="P178" s="251"/>
      <c r="Q178" s="251"/>
      <c r="R178" s="251"/>
      <c r="S178" s="251"/>
      <c r="T178" s="251"/>
      <c r="U178" s="251"/>
      <c r="V178" s="251"/>
      <c r="W178" s="251"/>
      <c r="X178" s="251"/>
      <c r="Y178" s="251"/>
      <c r="Z178" s="251"/>
      <c r="AA178" s="251"/>
      <c r="AB178" s="251"/>
      <c r="AC178" s="251"/>
      <c r="AD178" s="251"/>
      <c r="AE178" s="251"/>
    </row>
    <row r="179" spans="2:31" x14ac:dyDescent="0.2">
      <c r="B179" s="251"/>
      <c r="C179" s="251"/>
      <c r="D179" s="251"/>
      <c r="E179" s="251"/>
      <c r="F179" s="251"/>
      <c r="G179" s="251"/>
      <c r="H179" s="251"/>
      <c r="I179" s="251"/>
      <c r="J179" s="251"/>
      <c r="K179" s="251"/>
      <c r="L179" s="251"/>
      <c r="M179" s="251"/>
      <c r="N179" s="251"/>
      <c r="O179" s="251"/>
      <c r="P179" s="251"/>
      <c r="Q179" s="251"/>
      <c r="R179" s="251"/>
      <c r="S179" s="251"/>
      <c r="T179" s="251"/>
      <c r="U179" s="251"/>
      <c r="V179" s="251"/>
      <c r="W179" s="251"/>
      <c r="X179" s="251"/>
      <c r="Y179" s="251"/>
      <c r="Z179" s="251"/>
      <c r="AA179" s="251"/>
      <c r="AB179" s="251"/>
      <c r="AC179" s="251"/>
      <c r="AD179" s="251"/>
      <c r="AE179" s="251"/>
    </row>
    <row r="180" spans="2:31" x14ac:dyDescent="0.2">
      <c r="B180" s="251"/>
      <c r="C180" s="251"/>
      <c r="D180" s="251"/>
      <c r="E180" s="251"/>
      <c r="F180" s="251"/>
      <c r="G180" s="251"/>
      <c r="H180" s="251"/>
      <c r="I180" s="251"/>
      <c r="J180" s="251"/>
      <c r="K180" s="251"/>
      <c r="L180" s="251"/>
      <c r="M180" s="251"/>
      <c r="N180" s="251"/>
      <c r="O180" s="251"/>
      <c r="P180" s="251"/>
      <c r="Q180" s="251"/>
      <c r="R180" s="251"/>
      <c r="S180" s="251"/>
      <c r="T180" s="251"/>
      <c r="U180" s="251"/>
      <c r="V180" s="251"/>
      <c r="W180" s="251"/>
      <c r="X180" s="251"/>
      <c r="Y180" s="251"/>
      <c r="Z180" s="251"/>
      <c r="AA180" s="251"/>
      <c r="AB180" s="251"/>
      <c r="AC180" s="251"/>
      <c r="AD180" s="251"/>
      <c r="AE180" s="251"/>
    </row>
    <row r="181" spans="2:31" x14ac:dyDescent="0.2">
      <c r="B181" s="251"/>
      <c r="C181" s="251"/>
      <c r="D181" s="251"/>
      <c r="E181" s="251"/>
      <c r="F181" s="251"/>
      <c r="G181" s="251"/>
      <c r="H181" s="251"/>
      <c r="I181" s="251"/>
      <c r="J181" s="251"/>
      <c r="K181" s="251"/>
      <c r="L181" s="251"/>
      <c r="M181" s="251"/>
      <c r="N181" s="251"/>
      <c r="O181" s="251"/>
      <c r="P181" s="251"/>
      <c r="Q181" s="251"/>
      <c r="R181" s="251"/>
      <c r="S181" s="251"/>
      <c r="T181" s="251"/>
      <c r="U181" s="251"/>
      <c r="V181" s="251"/>
      <c r="W181" s="251"/>
      <c r="X181" s="251"/>
      <c r="Y181" s="251"/>
      <c r="Z181" s="251"/>
      <c r="AA181" s="251"/>
      <c r="AB181" s="251"/>
      <c r="AC181" s="251"/>
      <c r="AD181" s="251"/>
      <c r="AE181" s="251"/>
    </row>
    <row r="182" spans="2:31" x14ac:dyDescent="0.2">
      <c r="B182" s="251"/>
      <c r="C182" s="251"/>
      <c r="D182" s="251"/>
      <c r="E182" s="251"/>
      <c r="F182" s="251"/>
      <c r="G182" s="251"/>
      <c r="H182" s="251"/>
      <c r="I182" s="251"/>
      <c r="J182" s="251"/>
      <c r="K182" s="251"/>
      <c r="L182" s="251"/>
      <c r="M182" s="251"/>
      <c r="N182" s="251"/>
      <c r="O182" s="251"/>
      <c r="P182" s="251"/>
      <c r="Q182" s="251"/>
      <c r="R182" s="251"/>
      <c r="S182" s="251"/>
      <c r="T182" s="251"/>
      <c r="U182" s="251"/>
      <c r="V182" s="251"/>
      <c r="W182" s="251"/>
      <c r="X182" s="251"/>
      <c r="Y182" s="251"/>
      <c r="Z182" s="251"/>
      <c r="AA182" s="251"/>
      <c r="AB182" s="251"/>
      <c r="AC182" s="251"/>
      <c r="AD182" s="251"/>
      <c r="AE182" s="251"/>
    </row>
    <row r="183" spans="2:31" x14ac:dyDescent="0.2">
      <c r="B183" s="251"/>
      <c r="C183" s="251"/>
      <c r="D183" s="251"/>
      <c r="E183" s="251"/>
      <c r="F183" s="251"/>
      <c r="G183" s="251"/>
      <c r="H183" s="251"/>
      <c r="I183" s="251"/>
      <c r="J183" s="251"/>
      <c r="K183" s="251"/>
      <c r="L183" s="251"/>
      <c r="M183" s="251"/>
      <c r="N183" s="251"/>
      <c r="O183" s="251"/>
      <c r="P183" s="251"/>
      <c r="Q183" s="251"/>
      <c r="R183" s="251"/>
      <c r="S183" s="251"/>
      <c r="T183" s="251"/>
      <c r="U183" s="251"/>
      <c r="V183" s="251"/>
      <c r="W183" s="251"/>
      <c r="X183" s="251"/>
      <c r="Y183" s="251"/>
      <c r="Z183" s="251"/>
      <c r="AA183" s="251"/>
      <c r="AB183" s="251"/>
      <c r="AC183" s="251"/>
      <c r="AD183" s="251"/>
      <c r="AE183" s="251"/>
    </row>
    <row r="184" spans="2:31" x14ac:dyDescent="0.2">
      <c r="B184" s="251"/>
      <c r="C184" s="251"/>
      <c r="D184" s="251"/>
      <c r="E184" s="251"/>
      <c r="F184" s="251"/>
      <c r="G184" s="251"/>
      <c r="H184" s="251"/>
      <c r="I184" s="251"/>
      <c r="J184" s="251"/>
      <c r="K184" s="251"/>
      <c r="L184" s="251"/>
      <c r="M184" s="251"/>
      <c r="N184" s="251"/>
      <c r="O184" s="251"/>
      <c r="P184" s="251"/>
      <c r="Q184" s="251"/>
      <c r="R184" s="251"/>
      <c r="S184" s="251"/>
      <c r="T184" s="251"/>
      <c r="U184" s="251"/>
      <c r="V184" s="251"/>
      <c r="W184" s="251"/>
      <c r="X184" s="251"/>
      <c r="Y184" s="251"/>
      <c r="Z184" s="251"/>
      <c r="AA184" s="251"/>
      <c r="AB184" s="251"/>
      <c r="AC184" s="251"/>
      <c r="AD184" s="251"/>
      <c r="AE184" s="251"/>
    </row>
    <row r="185" spans="2:31" x14ac:dyDescent="0.2">
      <c r="B185" s="251"/>
      <c r="C185" s="251"/>
      <c r="D185" s="251"/>
      <c r="E185" s="251"/>
      <c r="F185" s="251"/>
      <c r="G185" s="251"/>
      <c r="H185" s="251"/>
      <c r="I185" s="251"/>
      <c r="J185" s="251"/>
      <c r="K185" s="251"/>
      <c r="L185" s="251"/>
      <c r="M185" s="251"/>
      <c r="N185" s="251"/>
      <c r="O185" s="251"/>
      <c r="P185" s="251"/>
      <c r="Q185" s="251"/>
      <c r="R185" s="251"/>
      <c r="S185" s="251"/>
      <c r="T185" s="251"/>
      <c r="U185" s="251"/>
      <c r="V185" s="251"/>
      <c r="W185" s="251"/>
      <c r="X185" s="251"/>
      <c r="Y185" s="251"/>
      <c r="Z185" s="251"/>
      <c r="AA185" s="251"/>
      <c r="AB185" s="251"/>
      <c r="AC185" s="251"/>
      <c r="AD185" s="251"/>
      <c r="AE185" s="251"/>
    </row>
    <row r="186" spans="2:31" x14ac:dyDescent="0.2">
      <c r="B186" s="251"/>
      <c r="C186" s="251"/>
      <c r="D186" s="251"/>
      <c r="E186" s="251"/>
      <c r="F186" s="251"/>
      <c r="G186" s="251"/>
      <c r="H186" s="251"/>
      <c r="I186" s="251"/>
      <c r="J186" s="251"/>
      <c r="K186" s="251"/>
      <c r="L186" s="251"/>
      <c r="M186" s="251"/>
      <c r="N186" s="251"/>
      <c r="O186" s="251"/>
      <c r="P186" s="251"/>
      <c r="Q186" s="251"/>
      <c r="R186" s="251"/>
      <c r="S186" s="251"/>
      <c r="T186" s="251"/>
      <c r="U186" s="251"/>
      <c r="V186" s="251"/>
      <c r="W186" s="251"/>
      <c r="X186" s="251"/>
      <c r="Y186" s="251"/>
      <c r="Z186" s="251"/>
      <c r="AA186" s="251"/>
      <c r="AB186" s="251"/>
      <c r="AC186" s="251"/>
      <c r="AD186" s="251"/>
      <c r="AE186" s="251"/>
    </row>
    <row r="187" spans="2:31" x14ac:dyDescent="0.2">
      <c r="B187" s="251"/>
      <c r="C187" s="251"/>
      <c r="D187" s="251"/>
      <c r="E187" s="251"/>
      <c r="F187" s="251"/>
      <c r="G187" s="251"/>
      <c r="H187" s="251"/>
      <c r="I187" s="251"/>
      <c r="J187" s="251"/>
      <c r="K187" s="251"/>
      <c r="L187" s="251"/>
      <c r="M187" s="251"/>
      <c r="N187" s="251"/>
      <c r="O187" s="251"/>
      <c r="P187" s="251"/>
      <c r="Q187" s="251"/>
      <c r="R187" s="251"/>
      <c r="S187" s="251"/>
      <c r="T187" s="251"/>
      <c r="U187" s="251"/>
      <c r="V187" s="251"/>
      <c r="W187" s="251"/>
      <c r="X187" s="251"/>
      <c r="Y187" s="251"/>
      <c r="Z187" s="251"/>
      <c r="AA187" s="251"/>
      <c r="AB187" s="251"/>
      <c r="AC187" s="251"/>
      <c r="AD187" s="251"/>
      <c r="AE187" s="251"/>
    </row>
    <row r="188" spans="2:31" x14ac:dyDescent="0.2">
      <c r="B188" s="251"/>
      <c r="C188" s="251"/>
      <c r="D188" s="251"/>
      <c r="E188" s="251"/>
      <c r="F188" s="251"/>
      <c r="G188" s="251"/>
      <c r="H188" s="251"/>
      <c r="I188" s="251"/>
      <c r="J188" s="251"/>
      <c r="K188" s="251"/>
      <c r="L188" s="251"/>
      <c r="M188" s="251"/>
      <c r="N188" s="251"/>
      <c r="O188" s="251"/>
      <c r="P188" s="251"/>
      <c r="Q188" s="251"/>
      <c r="R188" s="251"/>
      <c r="S188" s="251"/>
      <c r="T188" s="251"/>
      <c r="U188" s="251"/>
      <c r="V188" s="251"/>
      <c r="W188" s="251"/>
      <c r="X188" s="251"/>
      <c r="Y188" s="251"/>
      <c r="Z188" s="251"/>
      <c r="AA188" s="251"/>
      <c r="AB188" s="251"/>
      <c r="AC188" s="251"/>
      <c r="AD188" s="251"/>
      <c r="AE188" s="251"/>
    </row>
    <row r="189" spans="2:31" x14ac:dyDescent="0.2">
      <c r="B189" s="251"/>
      <c r="C189" s="251"/>
      <c r="D189" s="251"/>
      <c r="E189" s="251"/>
      <c r="F189" s="251"/>
      <c r="G189" s="251"/>
      <c r="H189" s="251"/>
      <c r="I189" s="251"/>
      <c r="J189" s="251"/>
      <c r="K189" s="251"/>
      <c r="L189" s="251"/>
      <c r="M189" s="251"/>
      <c r="N189" s="251"/>
      <c r="O189" s="251"/>
      <c r="P189" s="251"/>
      <c r="Q189" s="251"/>
      <c r="R189" s="251"/>
      <c r="S189" s="251"/>
      <c r="T189" s="251"/>
      <c r="U189" s="251"/>
      <c r="V189" s="251"/>
      <c r="W189" s="251"/>
      <c r="X189" s="251"/>
      <c r="Y189" s="251"/>
      <c r="Z189" s="251"/>
      <c r="AA189" s="251"/>
      <c r="AB189" s="251"/>
      <c r="AC189" s="251"/>
      <c r="AD189" s="251"/>
      <c r="AE189" s="251"/>
    </row>
    <row r="190" spans="2:31" x14ac:dyDescent="0.2">
      <c r="B190" s="251"/>
      <c r="C190" s="251"/>
      <c r="D190" s="251"/>
      <c r="E190" s="251"/>
      <c r="F190" s="251"/>
      <c r="G190" s="251"/>
      <c r="H190" s="251"/>
      <c r="I190" s="251"/>
      <c r="J190" s="251"/>
      <c r="K190" s="251"/>
      <c r="L190" s="251"/>
      <c r="M190" s="251"/>
      <c r="N190" s="251"/>
      <c r="O190" s="251"/>
      <c r="P190" s="251"/>
      <c r="Q190" s="251"/>
      <c r="R190" s="251"/>
      <c r="S190" s="251"/>
      <c r="T190" s="251"/>
      <c r="U190" s="251"/>
      <c r="V190" s="251"/>
      <c r="W190" s="251"/>
      <c r="X190" s="251"/>
      <c r="Y190" s="251"/>
      <c r="Z190" s="251"/>
      <c r="AA190" s="251"/>
      <c r="AB190" s="251"/>
      <c r="AC190" s="251"/>
      <c r="AD190" s="251"/>
      <c r="AE190" s="251"/>
    </row>
    <row r="191" spans="2:31" x14ac:dyDescent="0.2">
      <c r="B191" s="251"/>
      <c r="C191" s="251"/>
      <c r="D191" s="251"/>
      <c r="E191" s="251"/>
      <c r="F191" s="251"/>
      <c r="G191" s="251"/>
      <c r="H191" s="251"/>
      <c r="I191" s="251"/>
      <c r="J191" s="251"/>
      <c r="K191" s="251"/>
      <c r="L191" s="251"/>
      <c r="M191" s="251"/>
      <c r="N191" s="251"/>
      <c r="O191" s="251"/>
      <c r="P191" s="251"/>
      <c r="Q191" s="251"/>
      <c r="R191" s="251"/>
      <c r="S191" s="251"/>
      <c r="T191" s="251"/>
      <c r="U191" s="251"/>
      <c r="V191" s="251"/>
      <c r="W191" s="251"/>
      <c r="X191" s="251"/>
      <c r="Y191" s="251"/>
      <c r="Z191" s="251"/>
      <c r="AA191" s="251"/>
      <c r="AB191" s="251"/>
      <c r="AC191" s="251"/>
      <c r="AD191" s="251"/>
      <c r="AE191" s="251"/>
    </row>
    <row r="192" spans="2:31" x14ac:dyDescent="0.2">
      <c r="B192" s="251"/>
      <c r="C192" s="251"/>
      <c r="D192" s="251"/>
      <c r="E192" s="251"/>
      <c r="F192" s="251"/>
      <c r="G192" s="251"/>
      <c r="H192" s="251"/>
      <c r="I192" s="251"/>
      <c r="J192" s="251"/>
      <c r="K192" s="251"/>
      <c r="L192" s="251"/>
      <c r="M192" s="251"/>
      <c r="N192" s="251"/>
      <c r="O192" s="251"/>
      <c r="P192" s="251"/>
      <c r="Q192" s="251"/>
      <c r="R192" s="251"/>
      <c r="S192" s="251"/>
      <c r="T192" s="251"/>
      <c r="U192" s="251"/>
      <c r="V192" s="251"/>
      <c r="W192" s="251"/>
      <c r="X192" s="251"/>
      <c r="Y192" s="251"/>
      <c r="Z192" s="251"/>
      <c r="AA192" s="251"/>
      <c r="AB192" s="251"/>
      <c r="AC192" s="251"/>
      <c r="AD192" s="251"/>
      <c r="AE192" s="251"/>
    </row>
    <row r="193" spans="2:31" x14ac:dyDescent="0.2">
      <c r="B193" s="251"/>
      <c r="C193" s="251"/>
      <c r="D193" s="251"/>
      <c r="E193" s="251"/>
      <c r="F193" s="251"/>
      <c r="G193" s="251"/>
      <c r="H193" s="251"/>
      <c r="I193" s="251"/>
      <c r="J193" s="251"/>
      <c r="K193" s="251"/>
      <c r="L193" s="251"/>
      <c r="M193" s="251"/>
      <c r="N193" s="251"/>
      <c r="O193" s="251"/>
      <c r="P193" s="251"/>
      <c r="Q193" s="251"/>
      <c r="R193" s="251"/>
      <c r="S193" s="251"/>
      <c r="T193" s="251"/>
      <c r="U193" s="251"/>
      <c r="V193" s="251"/>
      <c r="W193" s="251"/>
      <c r="X193" s="251"/>
      <c r="Y193" s="251"/>
      <c r="Z193" s="251"/>
      <c r="AA193" s="251"/>
      <c r="AB193" s="251"/>
      <c r="AC193" s="251"/>
      <c r="AD193" s="251"/>
      <c r="AE193" s="251"/>
    </row>
    <row r="194" spans="2:31" x14ac:dyDescent="0.2">
      <c r="B194" s="251"/>
      <c r="C194" s="251"/>
      <c r="D194" s="251"/>
      <c r="E194" s="251"/>
      <c r="F194" s="251"/>
      <c r="G194" s="251"/>
      <c r="H194" s="251"/>
      <c r="I194" s="251"/>
      <c r="J194" s="251"/>
      <c r="K194" s="251"/>
      <c r="L194" s="251"/>
      <c r="M194" s="251"/>
      <c r="N194" s="251"/>
      <c r="O194" s="251"/>
      <c r="P194" s="251"/>
      <c r="Q194" s="251"/>
      <c r="R194" s="251"/>
      <c r="S194" s="251"/>
      <c r="T194" s="251"/>
      <c r="U194" s="251"/>
      <c r="V194" s="251"/>
      <c r="W194" s="251"/>
      <c r="X194" s="251"/>
      <c r="Y194" s="251"/>
      <c r="Z194" s="251"/>
      <c r="AA194" s="251"/>
      <c r="AB194" s="251"/>
      <c r="AC194" s="251"/>
      <c r="AD194" s="251"/>
      <c r="AE194" s="251"/>
    </row>
    <row r="195" spans="2:31" x14ac:dyDescent="0.2">
      <c r="B195" s="251"/>
      <c r="C195" s="251"/>
      <c r="D195" s="251"/>
      <c r="E195" s="251"/>
      <c r="F195" s="251"/>
      <c r="G195" s="251"/>
      <c r="H195" s="251"/>
      <c r="I195" s="251"/>
      <c r="J195" s="251"/>
      <c r="K195" s="251"/>
      <c r="L195" s="251"/>
      <c r="M195" s="251"/>
      <c r="N195" s="251"/>
      <c r="O195" s="251"/>
      <c r="P195" s="251"/>
      <c r="Q195" s="251"/>
      <c r="R195" s="251"/>
      <c r="S195" s="251"/>
      <c r="T195" s="251"/>
      <c r="U195" s="251"/>
      <c r="V195" s="251"/>
      <c r="W195" s="251"/>
      <c r="X195" s="251"/>
      <c r="Y195" s="251"/>
      <c r="Z195" s="251"/>
      <c r="AA195" s="251"/>
      <c r="AB195" s="251"/>
      <c r="AC195" s="251"/>
      <c r="AD195" s="251"/>
      <c r="AE195" s="251"/>
    </row>
    <row r="196" spans="2:31" x14ac:dyDescent="0.2">
      <c r="B196" s="251"/>
      <c r="C196" s="251"/>
      <c r="D196" s="251"/>
      <c r="E196" s="251"/>
      <c r="F196" s="251"/>
      <c r="G196" s="251"/>
      <c r="H196" s="251"/>
      <c r="I196" s="251"/>
      <c r="J196" s="251"/>
      <c r="K196" s="251"/>
      <c r="L196" s="251"/>
      <c r="M196" s="251"/>
      <c r="N196" s="251"/>
      <c r="O196" s="251"/>
      <c r="P196" s="251"/>
      <c r="Q196" s="251"/>
      <c r="R196" s="251"/>
      <c r="S196" s="251"/>
      <c r="T196" s="251"/>
      <c r="U196" s="251"/>
      <c r="V196" s="251"/>
      <c r="W196" s="251"/>
      <c r="X196" s="251"/>
      <c r="Y196" s="251"/>
      <c r="Z196" s="251"/>
      <c r="AA196" s="251"/>
      <c r="AB196" s="251"/>
      <c r="AC196" s="251"/>
      <c r="AD196" s="251"/>
      <c r="AE196" s="251"/>
    </row>
    <row r="197" spans="2:31" x14ac:dyDescent="0.2">
      <c r="B197" s="251"/>
      <c r="C197" s="251"/>
      <c r="D197" s="251"/>
      <c r="E197" s="251"/>
      <c r="F197" s="251"/>
      <c r="G197" s="251"/>
      <c r="H197" s="251"/>
      <c r="I197" s="251"/>
      <c r="J197" s="251"/>
      <c r="K197" s="251"/>
      <c r="L197" s="251"/>
      <c r="M197" s="251"/>
      <c r="N197" s="251"/>
      <c r="O197" s="251"/>
      <c r="P197" s="251"/>
      <c r="Q197" s="251"/>
      <c r="R197" s="251"/>
      <c r="S197" s="251"/>
      <c r="T197" s="251"/>
      <c r="U197" s="251"/>
      <c r="V197" s="251"/>
      <c r="W197" s="251"/>
      <c r="X197" s="251"/>
      <c r="Y197" s="251"/>
      <c r="Z197" s="251"/>
      <c r="AA197" s="251"/>
      <c r="AB197" s="251"/>
      <c r="AC197" s="251"/>
      <c r="AD197" s="251"/>
      <c r="AE197" s="251"/>
    </row>
    <row r="198" spans="2:31" x14ac:dyDescent="0.2">
      <c r="B198" s="251"/>
      <c r="C198" s="251"/>
      <c r="D198" s="251"/>
      <c r="E198" s="251"/>
      <c r="F198" s="251"/>
      <c r="G198" s="251"/>
      <c r="H198" s="251"/>
      <c r="I198" s="251"/>
      <c r="J198" s="251"/>
      <c r="K198" s="251"/>
      <c r="L198" s="251"/>
      <c r="M198" s="251"/>
      <c r="N198" s="251"/>
      <c r="O198" s="251"/>
      <c r="P198" s="251"/>
      <c r="Q198" s="251"/>
      <c r="R198" s="251"/>
      <c r="S198" s="251"/>
      <c r="T198" s="251"/>
      <c r="U198" s="251"/>
      <c r="V198" s="251"/>
      <c r="W198" s="251"/>
      <c r="X198" s="251"/>
      <c r="Y198" s="251"/>
      <c r="Z198" s="251"/>
      <c r="AA198" s="251"/>
      <c r="AB198" s="251"/>
      <c r="AC198" s="251"/>
      <c r="AD198" s="251"/>
      <c r="AE198" s="251"/>
    </row>
    <row r="199" spans="2:31" x14ac:dyDescent="0.2">
      <c r="B199" s="251"/>
      <c r="C199" s="251"/>
      <c r="D199" s="251"/>
      <c r="E199" s="251"/>
      <c r="F199" s="251"/>
      <c r="G199" s="251"/>
      <c r="H199" s="251"/>
      <c r="I199" s="251"/>
      <c r="J199" s="251"/>
      <c r="K199" s="251"/>
      <c r="L199" s="251"/>
      <c r="M199" s="251"/>
      <c r="N199" s="251"/>
      <c r="O199" s="251"/>
      <c r="P199" s="251"/>
      <c r="Q199" s="251"/>
      <c r="R199" s="251"/>
      <c r="S199" s="251"/>
      <c r="T199" s="251"/>
      <c r="U199" s="251"/>
      <c r="V199" s="251"/>
      <c r="W199" s="251"/>
      <c r="X199" s="251"/>
      <c r="Y199" s="251"/>
      <c r="Z199" s="251"/>
      <c r="AA199" s="251"/>
      <c r="AB199" s="251"/>
      <c r="AC199" s="251"/>
      <c r="AD199" s="251"/>
      <c r="AE199" s="251"/>
    </row>
    <row r="200" spans="2:31" x14ac:dyDescent="0.2">
      <c r="B200" s="251"/>
      <c r="C200" s="251"/>
      <c r="D200" s="251"/>
      <c r="E200" s="251"/>
      <c r="F200" s="251"/>
      <c r="G200" s="251"/>
      <c r="H200" s="251"/>
      <c r="I200" s="251"/>
      <c r="J200" s="251"/>
      <c r="K200" s="251"/>
      <c r="L200" s="251"/>
      <c r="M200" s="251"/>
      <c r="N200" s="251"/>
      <c r="O200" s="251"/>
      <c r="P200" s="251"/>
      <c r="Q200" s="251"/>
      <c r="R200" s="251"/>
      <c r="S200" s="251"/>
      <c r="T200" s="251"/>
      <c r="U200" s="251"/>
      <c r="V200" s="251"/>
      <c r="W200" s="251"/>
      <c r="X200" s="251"/>
      <c r="Y200" s="251"/>
      <c r="Z200" s="251"/>
      <c r="AA200" s="251"/>
      <c r="AB200" s="251"/>
      <c r="AC200" s="251"/>
      <c r="AD200" s="251"/>
      <c r="AE200" s="251"/>
    </row>
    <row r="201" spans="2:31" x14ac:dyDescent="0.2">
      <c r="B201" s="251"/>
      <c r="C201" s="251"/>
      <c r="D201" s="251"/>
      <c r="E201" s="251"/>
      <c r="F201" s="251"/>
      <c r="G201" s="251"/>
      <c r="H201" s="251"/>
      <c r="I201" s="251"/>
      <c r="J201" s="251"/>
      <c r="K201" s="251"/>
      <c r="L201" s="251"/>
      <c r="M201" s="251"/>
      <c r="N201" s="251"/>
      <c r="O201" s="251"/>
      <c r="P201" s="251"/>
      <c r="Q201" s="251"/>
      <c r="R201" s="251"/>
      <c r="S201" s="251"/>
      <c r="T201" s="251"/>
      <c r="U201" s="251"/>
      <c r="V201" s="251"/>
      <c r="W201" s="251"/>
      <c r="X201" s="251"/>
      <c r="Y201" s="251"/>
      <c r="Z201" s="251"/>
      <c r="AA201" s="251"/>
      <c r="AB201" s="251"/>
      <c r="AC201" s="251"/>
      <c r="AD201" s="251"/>
      <c r="AE201" s="251"/>
    </row>
    <row r="202" spans="2:31" x14ac:dyDescent="0.2">
      <c r="B202" s="251"/>
      <c r="C202" s="251"/>
      <c r="D202" s="251"/>
      <c r="E202" s="251"/>
      <c r="F202" s="251"/>
      <c r="G202" s="251"/>
      <c r="H202" s="251"/>
      <c r="I202" s="251"/>
      <c r="J202" s="251"/>
      <c r="K202" s="251"/>
      <c r="L202" s="251"/>
      <c r="M202" s="251"/>
      <c r="N202" s="251"/>
      <c r="O202" s="251"/>
      <c r="P202" s="251"/>
      <c r="Q202" s="251"/>
      <c r="R202" s="251"/>
      <c r="S202" s="251"/>
      <c r="T202" s="251"/>
      <c r="U202" s="251"/>
      <c r="V202" s="251"/>
      <c r="W202" s="251"/>
      <c r="X202" s="251"/>
      <c r="Y202" s="251"/>
      <c r="Z202" s="251"/>
      <c r="AA202" s="251"/>
      <c r="AB202" s="251"/>
      <c r="AC202" s="251"/>
      <c r="AD202" s="251"/>
      <c r="AE202" s="251"/>
    </row>
    <row r="203" spans="2:31" x14ac:dyDescent="0.2">
      <c r="B203" s="251"/>
      <c r="C203" s="251"/>
      <c r="D203" s="251"/>
      <c r="E203" s="251"/>
      <c r="F203" s="251"/>
      <c r="G203" s="251"/>
      <c r="H203" s="251"/>
      <c r="I203" s="251"/>
      <c r="J203" s="251"/>
      <c r="K203" s="251"/>
      <c r="L203" s="251"/>
      <c r="M203" s="251"/>
      <c r="N203" s="251"/>
      <c r="O203" s="251"/>
      <c r="P203" s="251"/>
      <c r="Q203" s="251"/>
      <c r="R203" s="251"/>
      <c r="S203" s="251"/>
      <c r="T203" s="251"/>
      <c r="U203" s="251"/>
      <c r="V203" s="251"/>
      <c r="W203" s="251"/>
      <c r="X203" s="251"/>
      <c r="Y203" s="251"/>
      <c r="Z203" s="251"/>
      <c r="AA203" s="251"/>
      <c r="AB203" s="251"/>
      <c r="AC203" s="251"/>
      <c r="AD203" s="251"/>
      <c r="AE203" s="251"/>
    </row>
    <row r="204" spans="2:31" x14ac:dyDescent="0.2">
      <c r="B204" s="251"/>
      <c r="C204" s="251"/>
      <c r="D204" s="251"/>
      <c r="E204" s="251"/>
      <c r="F204" s="251"/>
      <c r="G204" s="251"/>
      <c r="H204" s="251"/>
      <c r="I204" s="251"/>
      <c r="J204" s="251"/>
      <c r="K204" s="251"/>
      <c r="L204" s="251"/>
      <c r="M204" s="251"/>
      <c r="N204" s="251"/>
      <c r="O204" s="251"/>
      <c r="P204" s="251"/>
      <c r="Q204" s="251"/>
      <c r="R204" s="251"/>
      <c r="S204" s="251"/>
      <c r="T204" s="251"/>
      <c r="U204" s="251"/>
      <c r="V204" s="251"/>
      <c r="W204" s="251"/>
      <c r="X204" s="251"/>
      <c r="Y204" s="251"/>
      <c r="Z204" s="251"/>
      <c r="AA204" s="251"/>
      <c r="AB204" s="251"/>
      <c r="AC204" s="251"/>
      <c r="AD204" s="251"/>
      <c r="AE204" s="251"/>
    </row>
    <row r="205" spans="2:31" x14ac:dyDescent="0.2">
      <c r="B205" s="251"/>
      <c r="C205" s="251"/>
      <c r="D205" s="251"/>
      <c r="E205" s="251"/>
      <c r="F205" s="251"/>
      <c r="G205" s="251"/>
      <c r="H205" s="251"/>
      <c r="I205" s="251"/>
      <c r="J205" s="251"/>
      <c r="K205" s="251"/>
      <c r="L205" s="251"/>
      <c r="M205" s="251"/>
      <c r="N205" s="251"/>
      <c r="O205" s="251"/>
      <c r="P205" s="251"/>
      <c r="Q205" s="251"/>
      <c r="R205" s="251"/>
      <c r="S205" s="251"/>
      <c r="T205" s="251"/>
      <c r="U205" s="251"/>
      <c r="V205" s="251"/>
      <c r="W205" s="251"/>
      <c r="X205" s="251"/>
      <c r="Y205" s="251"/>
      <c r="Z205" s="251"/>
      <c r="AA205" s="251"/>
      <c r="AB205" s="251"/>
      <c r="AC205" s="251"/>
      <c r="AD205" s="251"/>
      <c r="AE205" s="251"/>
    </row>
    <row r="206" spans="2:31" x14ac:dyDescent="0.2">
      <c r="B206" s="251"/>
      <c r="C206" s="251"/>
      <c r="D206" s="251"/>
      <c r="E206" s="251"/>
      <c r="F206" s="251"/>
      <c r="G206" s="251"/>
      <c r="H206" s="251"/>
      <c r="I206" s="251"/>
      <c r="J206" s="251"/>
      <c r="K206" s="251"/>
      <c r="L206" s="251"/>
      <c r="M206" s="251"/>
      <c r="N206" s="251"/>
      <c r="O206" s="251"/>
      <c r="P206" s="251"/>
      <c r="Q206" s="251"/>
      <c r="R206" s="251"/>
      <c r="S206" s="251"/>
      <c r="T206" s="251"/>
      <c r="U206" s="251"/>
      <c r="V206" s="251"/>
      <c r="W206" s="251"/>
      <c r="X206" s="251"/>
      <c r="Y206" s="251"/>
      <c r="Z206" s="251"/>
      <c r="AA206" s="251"/>
      <c r="AB206" s="251"/>
      <c r="AC206" s="251"/>
      <c r="AD206" s="251"/>
      <c r="AE206" s="251"/>
    </row>
    <row r="207" spans="2:31" x14ac:dyDescent="0.2">
      <c r="B207" s="251"/>
      <c r="C207" s="251"/>
      <c r="D207" s="251"/>
      <c r="E207" s="251"/>
      <c r="F207" s="251"/>
      <c r="G207" s="251"/>
      <c r="H207" s="251"/>
      <c r="I207" s="251"/>
      <c r="J207" s="251"/>
      <c r="K207" s="251"/>
      <c r="L207" s="251"/>
      <c r="M207" s="251"/>
      <c r="N207" s="251"/>
      <c r="O207" s="251"/>
      <c r="P207" s="251"/>
      <c r="Q207" s="251"/>
      <c r="R207" s="251"/>
      <c r="S207" s="251"/>
      <c r="T207" s="251"/>
      <c r="U207" s="251"/>
      <c r="V207" s="251"/>
      <c r="W207" s="251"/>
      <c r="X207" s="251"/>
      <c r="Y207" s="251"/>
      <c r="Z207" s="251"/>
      <c r="AA207" s="251"/>
      <c r="AB207" s="251"/>
      <c r="AC207" s="251"/>
      <c r="AD207" s="251"/>
      <c r="AE207" s="251"/>
    </row>
    <row r="208" spans="2:31" x14ac:dyDescent="0.2">
      <c r="B208" s="251"/>
      <c r="C208" s="251"/>
      <c r="D208" s="251"/>
      <c r="E208" s="251"/>
      <c r="F208" s="251"/>
      <c r="G208" s="251"/>
      <c r="H208" s="251"/>
      <c r="I208" s="251"/>
      <c r="J208" s="251"/>
      <c r="K208" s="251"/>
      <c r="L208" s="251"/>
      <c r="M208" s="251"/>
      <c r="N208" s="251"/>
      <c r="O208" s="251"/>
      <c r="P208" s="251"/>
      <c r="Q208" s="251"/>
      <c r="R208" s="251"/>
      <c r="S208" s="251"/>
      <c r="T208" s="251"/>
      <c r="U208" s="251"/>
      <c r="V208" s="251"/>
      <c r="W208" s="251"/>
      <c r="X208" s="251"/>
      <c r="Y208" s="251"/>
      <c r="Z208" s="251"/>
      <c r="AA208" s="251"/>
      <c r="AB208" s="251"/>
      <c r="AC208" s="251"/>
      <c r="AD208" s="251"/>
      <c r="AE208" s="251"/>
    </row>
    <row r="209" spans="2:31" x14ac:dyDescent="0.2">
      <c r="B209" s="251"/>
      <c r="C209" s="251"/>
      <c r="D209" s="251"/>
      <c r="E209" s="251"/>
      <c r="F209" s="251"/>
      <c r="G209" s="251"/>
      <c r="H209" s="251"/>
      <c r="I209" s="251"/>
      <c r="J209" s="251"/>
      <c r="K209" s="251"/>
      <c r="L209" s="251"/>
      <c r="M209" s="251"/>
      <c r="N209" s="251"/>
      <c r="O209" s="251"/>
      <c r="P209" s="251"/>
      <c r="Q209" s="251"/>
      <c r="R209" s="251"/>
      <c r="S209" s="251"/>
      <c r="T209" s="251"/>
      <c r="U209" s="251"/>
      <c r="V209" s="251"/>
      <c r="W209" s="251"/>
      <c r="X209" s="251"/>
      <c r="Y209" s="251"/>
      <c r="Z209" s="251"/>
      <c r="AA209" s="251"/>
      <c r="AB209" s="251"/>
      <c r="AC209" s="251"/>
      <c r="AD209" s="251"/>
      <c r="AE209" s="251"/>
    </row>
    <row r="210" spans="2:31" x14ac:dyDescent="0.2">
      <c r="B210" s="251"/>
      <c r="C210" s="251"/>
      <c r="D210" s="251"/>
      <c r="E210" s="251"/>
      <c r="F210" s="251"/>
      <c r="G210" s="251"/>
      <c r="H210" s="251"/>
      <c r="I210" s="251"/>
      <c r="J210" s="251"/>
      <c r="K210" s="251"/>
      <c r="L210" s="251"/>
      <c r="M210" s="251"/>
      <c r="N210" s="251"/>
      <c r="O210" s="251"/>
      <c r="P210" s="251"/>
      <c r="Q210" s="251"/>
      <c r="R210" s="251"/>
      <c r="S210" s="251"/>
      <c r="T210" s="251"/>
      <c r="U210" s="251"/>
      <c r="V210" s="251"/>
      <c r="W210" s="251"/>
      <c r="X210" s="251"/>
      <c r="Y210" s="251"/>
      <c r="Z210" s="251"/>
      <c r="AA210" s="251"/>
      <c r="AB210" s="251"/>
      <c r="AC210" s="251"/>
      <c r="AD210" s="251"/>
      <c r="AE210" s="251"/>
    </row>
    <row r="211" spans="2:31" x14ac:dyDescent="0.2">
      <c r="B211" s="251"/>
      <c r="C211" s="251"/>
      <c r="D211" s="251"/>
      <c r="E211" s="251"/>
      <c r="F211" s="251"/>
      <c r="G211" s="251"/>
      <c r="H211" s="251"/>
      <c r="I211" s="251"/>
      <c r="J211" s="251"/>
      <c r="K211" s="251"/>
      <c r="L211" s="251"/>
      <c r="M211" s="251"/>
      <c r="N211" s="251"/>
      <c r="O211" s="251"/>
      <c r="P211" s="251"/>
      <c r="Q211" s="251"/>
      <c r="R211" s="251"/>
      <c r="S211" s="251"/>
      <c r="T211" s="251"/>
      <c r="U211" s="251"/>
      <c r="V211" s="251"/>
      <c r="W211" s="251"/>
      <c r="X211" s="251"/>
      <c r="Y211" s="251"/>
      <c r="Z211" s="251"/>
      <c r="AA211" s="251"/>
      <c r="AB211" s="251"/>
      <c r="AC211" s="251"/>
      <c r="AD211" s="251"/>
      <c r="AE211" s="251"/>
    </row>
    <row r="212" spans="2:31" x14ac:dyDescent="0.2">
      <c r="B212" s="251"/>
      <c r="C212" s="251"/>
      <c r="D212" s="251"/>
      <c r="E212" s="251"/>
      <c r="F212" s="251"/>
      <c r="G212" s="251"/>
      <c r="H212" s="251"/>
      <c r="I212" s="251"/>
      <c r="J212" s="251"/>
      <c r="K212" s="251"/>
      <c r="L212" s="251"/>
      <c r="M212" s="251"/>
      <c r="N212" s="251"/>
      <c r="O212" s="251"/>
      <c r="P212" s="251"/>
      <c r="Q212" s="251"/>
      <c r="R212" s="251"/>
      <c r="S212" s="251"/>
      <c r="T212" s="251"/>
      <c r="U212" s="251"/>
      <c r="V212" s="251"/>
      <c r="W212" s="251"/>
      <c r="X212" s="251"/>
      <c r="Y212" s="251"/>
      <c r="Z212" s="251"/>
      <c r="AA212" s="251"/>
      <c r="AB212" s="251"/>
      <c r="AC212" s="251"/>
      <c r="AD212" s="251"/>
      <c r="AE212" s="251"/>
    </row>
    <row r="213" spans="2:31" x14ac:dyDescent="0.2">
      <c r="B213" s="251"/>
      <c r="C213" s="251"/>
      <c r="D213" s="251"/>
      <c r="E213" s="251"/>
      <c r="F213" s="251"/>
      <c r="G213" s="251"/>
      <c r="H213" s="251"/>
      <c r="I213" s="251"/>
      <c r="J213" s="251"/>
      <c r="K213" s="251"/>
      <c r="L213" s="251"/>
      <c r="M213" s="251"/>
      <c r="N213" s="251"/>
      <c r="O213" s="251"/>
      <c r="P213" s="251"/>
      <c r="Q213" s="251"/>
      <c r="R213" s="251"/>
      <c r="S213" s="251"/>
      <c r="T213" s="251"/>
      <c r="U213" s="251"/>
      <c r="V213" s="251"/>
      <c r="W213" s="251"/>
      <c r="X213" s="251"/>
      <c r="Y213" s="251"/>
      <c r="Z213" s="251"/>
      <c r="AA213" s="251"/>
      <c r="AB213" s="251"/>
      <c r="AC213" s="251"/>
      <c r="AD213" s="251"/>
      <c r="AE213" s="251"/>
    </row>
    <row r="214" spans="2:31" x14ac:dyDescent="0.2">
      <c r="B214" s="251"/>
      <c r="C214" s="251"/>
      <c r="D214" s="251"/>
      <c r="E214" s="251"/>
      <c r="F214" s="251"/>
      <c r="G214" s="251"/>
      <c r="H214" s="251"/>
      <c r="I214" s="251"/>
      <c r="J214" s="251"/>
      <c r="K214" s="251"/>
      <c r="L214" s="251"/>
      <c r="M214" s="251"/>
      <c r="N214" s="251"/>
      <c r="O214" s="251"/>
      <c r="P214" s="251"/>
      <c r="Q214" s="251"/>
      <c r="R214" s="251"/>
      <c r="S214" s="251"/>
      <c r="T214" s="251"/>
      <c r="U214" s="251"/>
      <c r="V214" s="251"/>
      <c r="W214" s="251"/>
      <c r="X214" s="251"/>
      <c r="Y214" s="251"/>
      <c r="Z214" s="251"/>
      <c r="AA214" s="251"/>
      <c r="AB214" s="251"/>
      <c r="AC214" s="251"/>
      <c r="AD214" s="251"/>
      <c r="AE214" s="251"/>
    </row>
    <row r="215" spans="2:31" x14ac:dyDescent="0.2">
      <c r="B215" s="251"/>
      <c r="C215" s="251"/>
      <c r="D215" s="251"/>
      <c r="E215" s="251"/>
      <c r="F215" s="251"/>
      <c r="G215" s="251"/>
      <c r="H215" s="251"/>
      <c r="I215" s="251"/>
      <c r="J215" s="251"/>
      <c r="K215" s="251"/>
      <c r="L215" s="251"/>
      <c r="M215" s="251"/>
      <c r="N215" s="251"/>
      <c r="O215" s="251"/>
      <c r="P215" s="251"/>
      <c r="Q215" s="251"/>
      <c r="R215" s="251"/>
      <c r="S215" s="251"/>
      <c r="T215" s="251"/>
      <c r="U215" s="251"/>
      <c r="V215" s="251"/>
      <c r="W215" s="251"/>
      <c r="X215" s="251"/>
      <c r="Y215" s="251"/>
      <c r="Z215" s="251"/>
      <c r="AA215" s="251"/>
      <c r="AB215" s="251"/>
      <c r="AC215" s="251"/>
      <c r="AD215" s="251"/>
      <c r="AE215" s="251"/>
    </row>
    <row r="216" spans="2:31" x14ac:dyDescent="0.2">
      <c r="B216" s="251"/>
      <c r="C216" s="251"/>
      <c r="D216" s="251"/>
      <c r="E216" s="251"/>
      <c r="F216" s="251"/>
      <c r="G216" s="251"/>
      <c r="H216" s="251"/>
      <c r="I216" s="251"/>
      <c r="J216" s="251"/>
      <c r="K216" s="251"/>
      <c r="L216" s="251"/>
      <c r="M216" s="251"/>
      <c r="N216" s="251"/>
      <c r="O216" s="251"/>
      <c r="P216" s="251"/>
      <c r="Q216" s="251"/>
      <c r="R216" s="251"/>
      <c r="S216" s="251"/>
      <c r="T216" s="251"/>
      <c r="U216" s="251"/>
      <c r="V216" s="251"/>
      <c r="W216" s="251"/>
      <c r="X216" s="251"/>
      <c r="Y216" s="251"/>
      <c r="Z216" s="251"/>
      <c r="AA216" s="251"/>
      <c r="AB216" s="251"/>
      <c r="AC216" s="251"/>
      <c r="AD216" s="251"/>
      <c r="AE216" s="251"/>
    </row>
    <row r="217" spans="2:31" x14ac:dyDescent="0.2">
      <c r="B217" s="251"/>
      <c r="C217" s="251"/>
      <c r="D217" s="251"/>
      <c r="E217" s="251"/>
      <c r="F217" s="251"/>
      <c r="G217" s="251"/>
      <c r="H217" s="251"/>
      <c r="I217" s="251"/>
      <c r="J217" s="251"/>
      <c r="K217" s="251"/>
      <c r="L217" s="251"/>
      <c r="M217" s="251"/>
      <c r="N217" s="251"/>
      <c r="O217" s="251"/>
      <c r="P217" s="251"/>
      <c r="Q217" s="251"/>
      <c r="R217" s="251"/>
      <c r="S217" s="251"/>
      <c r="T217" s="251"/>
      <c r="U217" s="251"/>
      <c r="V217" s="251"/>
      <c r="W217" s="251"/>
      <c r="X217" s="251"/>
      <c r="Y217" s="251"/>
      <c r="Z217" s="251"/>
      <c r="AA217" s="251"/>
      <c r="AB217" s="251"/>
      <c r="AC217" s="251"/>
      <c r="AD217" s="251"/>
      <c r="AE217" s="251"/>
    </row>
    <row r="218" spans="2:31" x14ac:dyDescent="0.2">
      <c r="B218" s="251"/>
      <c r="C218" s="251"/>
      <c r="D218" s="251"/>
      <c r="E218" s="251"/>
      <c r="F218" s="251"/>
      <c r="G218" s="251"/>
      <c r="H218" s="251"/>
      <c r="I218" s="251"/>
      <c r="J218" s="251"/>
      <c r="K218" s="251"/>
      <c r="L218" s="251"/>
      <c r="M218" s="251"/>
      <c r="N218" s="251"/>
      <c r="O218" s="251"/>
      <c r="P218" s="251"/>
      <c r="Q218" s="251"/>
      <c r="R218" s="251"/>
      <c r="S218" s="251"/>
      <c r="T218" s="251"/>
      <c r="U218" s="251"/>
      <c r="V218" s="251"/>
      <c r="W218" s="251"/>
      <c r="X218" s="251"/>
      <c r="Y218" s="251"/>
      <c r="Z218" s="251"/>
      <c r="AA218" s="251"/>
      <c r="AB218" s="251"/>
      <c r="AC218" s="251"/>
      <c r="AD218" s="251"/>
      <c r="AE218" s="251"/>
    </row>
    <row r="219" spans="2:31" x14ac:dyDescent="0.2">
      <c r="B219" s="251"/>
      <c r="C219" s="251"/>
      <c r="D219" s="251"/>
      <c r="E219" s="251"/>
      <c r="F219" s="251"/>
      <c r="G219" s="251"/>
      <c r="H219" s="251"/>
      <c r="I219" s="251"/>
      <c r="J219" s="251"/>
      <c r="K219" s="251"/>
      <c r="L219" s="251"/>
      <c r="M219" s="251"/>
      <c r="N219" s="251"/>
      <c r="O219" s="251"/>
      <c r="P219" s="251"/>
      <c r="Q219" s="251"/>
      <c r="R219" s="251"/>
      <c r="S219" s="251"/>
      <c r="T219" s="251"/>
      <c r="U219" s="251"/>
      <c r="V219" s="251"/>
      <c r="W219" s="251"/>
      <c r="X219" s="251"/>
      <c r="Y219" s="251"/>
      <c r="Z219" s="251"/>
      <c r="AA219" s="251"/>
      <c r="AB219" s="251"/>
      <c r="AC219" s="251"/>
      <c r="AD219" s="251"/>
      <c r="AE219" s="251"/>
    </row>
    <row r="220" spans="2:31" x14ac:dyDescent="0.2">
      <c r="B220" s="251"/>
      <c r="C220" s="251"/>
      <c r="D220" s="251"/>
      <c r="E220" s="251"/>
      <c r="F220" s="251"/>
      <c r="G220" s="251"/>
      <c r="H220" s="251"/>
      <c r="I220" s="251"/>
      <c r="J220" s="251"/>
      <c r="K220" s="251"/>
      <c r="L220" s="251"/>
      <c r="M220" s="251"/>
      <c r="N220" s="251"/>
      <c r="O220" s="251"/>
      <c r="P220" s="251"/>
      <c r="Q220" s="251"/>
      <c r="R220" s="251"/>
      <c r="S220" s="251"/>
      <c r="T220" s="251"/>
      <c r="U220" s="251"/>
      <c r="V220" s="251"/>
      <c r="W220" s="251"/>
      <c r="X220" s="251"/>
      <c r="Y220" s="251"/>
      <c r="Z220" s="251"/>
      <c r="AA220" s="251"/>
      <c r="AB220" s="251"/>
      <c r="AC220" s="251"/>
      <c r="AD220" s="251"/>
      <c r="AE220" s="251"/>
    </row>
    <row r="221" spans="2:31" x14ac:dyDescent="0.2">
      <c r="B221" s="251"/>
      <c r="C221" s="251"/>
      <c r="D221" s="251"/>
      <c r="E221" s="251"/>
      <c r="F221" s="251"/>
      <c r="G221" s="251"/>
      <c r="H221" s="251"/>
      <c r="I221" s="251"/>
      <c r="J221" s="251"/>
      <c r="K221" s="251"/>
      <c r="L221" s="251"/>
      <c r="M221" s="251"/>
      <c r="N221" s="251"/>
      <c r="O221" s="251"/>
      <c r="P221" s="251"/>
      <c r="Q221" s="251"/>
      <c r="R221" s="251"/>
      <c r="S221" s="251"/>
      <c r="T221" s="251"/>
      <c r="U221" s="251"/>
      <c r="V221" s="251"/>
      <c r="W221" s="251"/>
      <c r="X221" s="251"/>
      <c r="Y221" s="251"/>
      <c r="Z221" s="251"/>
      <c r="AA221" s="251"/>
      <c r="AB221" s="251"/>
      <c r="AC221" s="251"/>
      <c r="AD221" s="251"/>
      <c r="AE221" s="251"/>
    </row>
    <row r="222" spans="2:31" x14ac:dyDescent="0.2">
      <c r="B222" s="251"/>
      <c r="C222" s="251"/>
      <c r="D222" s="251"/>
      <c r="E222" s="251"/>
      <c r="F222" s="251"/>
      <c r="G222" s="251"/>
      <c r="H222" s="251"/>
      <c r="I222" s="251"/>
      <c r="J222" s="251"/>
      <c r="K222" s="251"/>
      <c r="L222" s="251"/>
      <c r="M222" s="251"/>
      <c r="N222" s="251"/>
      <c r="O222" s="251"/>
      <c r="P222" s="251"/>
      <c r="Q222" s="251"/>
      <c r="R222" s="251"/>
      <c r="S222" s="251"/>
      <c r="T222" s="251"/>
      <c r="U222" s="251"/>
      <c r="V222" s="251"/>
      <c r="W222" s="251"/>
      <c r="X222" s="251"/>
      <c r="Y222" s="251"/>
      <c r="Z222" s="251"/>
      <c r="AA222" s="251"/>
      <c r="AB222" s="251"/>
      <c r="AC222" s="251"/>
      <c r="AD222" s="251"/>
      <c r="AE222" s="251"/>
    </row>
    <row r="223" spans="2:31" x14ac:dyDescent="0.2">
      <c r="B223" s="251"/>
      <c r="C223" s="251"/>
      <c r="D223" s="251"/>
      <c r="E223" s="251"/>
      <c r="F223" s="251"/>
      <c r="G223" s="251"/>
      <c r="H223" s="251"/>
      <c r="I223" s="251"/>
      <c r="J223" s="251"/>
      <c r="K223" s="251"/>
      <c r="L223" s="251"/>
      <c r="M223" s="251"/>
      <c r="N223" s="251"/>
      <c r="O223" s="251"/>
      <c r="P223" s="251"/>
      <c r="Q223" s="251"/>
      <c r="R223" s="251"/>
      <c r="S223" s="251"/>
      <c r="T223" s="251"/>
      <c r="U223" s="251"/>
      <c r="V223" s="251"/>
      <c r="W223" s="251"/>
      <c r="X223" s="251"/>
      <c r="Y223" s="251"/>
      <c r="Z223" s="251"/>
      <c r="AA223" s="251"/>
      <c r="AB223" s="251"/>
      <c r="AC223" s="251"/>
      <c r="AD223" s="251"/>
      <c r="AE223" s="251"/>
    </row>
    <row r="224" spans="2:31" x14ac:dyDescent="0.2">
      <c r="B224" s="251"/>
      <c r="C224" s="251"/>
      <c r="D224" s="251"/>
      <c r="E224" s="251"/>
      <c r="F224" s="251"/>
      <c r="G224" s="251"/>
      <c r="H224" s="251"/>
      <c r="I224" s="251"/>
      <c r="J224" s="251"/>
      <c r="K224" s="251"/>
      <c r="L224" s="251"/>
      <c r="M224" s="251"/>
      <c r="N224" s="251"/>
      <c r="O224" s="251"/>
      <c r="P224" s="251"/>
      <c r="Q224" s="251"/>
      <c r="R224" s="251"/>
      <c r="S224" s="251"/>
      <c r="T224" s="251"/>
      <c r="U224" s="251"/>
      <c r="V224" s="251"/>
      <c r="W224" s="251"/>
      <c r="X224" s="251"/>
      <c r="Y224" s="251"/>
      <c r="Z224" s="251"/>
      <c r="AA224" s="251"/>
      <c r="AB224" s="251"/>
      <c r="AC224" s="251"/>
      <c r="AD224" s="251"/>
      <c r="AE224" s="251"/>
    </row>
    <row r="225" spans="2:31" x14ac:dyDescent="0.2">
      <c r="B225" s="251"/>
      <c r="C225" s="251"/>
      <c r="D225" s="251"/>
      <c r="E225" s="251"/>
      <c r="F225" s="251"/>
      <c r="G225" s="251"/>
      <c r="H225" s="251"/>
      <c r="I225" s="251"/>
      <c r="J225" s="251"/>
      <c r="K225" s="251"/>
      <c r="L225" s="251"/>
      <c r="M225" s="251"/>
      <c r="N225" s="251"/>
      <c r="O225" s="251"/>
      <c r="P225" s="251"/>
      <c r="Q225" s="251"/>
      <c r="R225" s="251"/>
      <c r="S225" s="251"/>
      <c r="T225" s="251"/>
      <c r="U225" s="251"/>
      <c r="V225" s="251"/>
      <c r="W225" s="251"/>
      <c r="X225" s="251"/>
      <c r="Y225" s="251"/>
      <c r="Z225" s="251"/>
      <c r="AA225" s="251"/>
      <c r="AB225" s="251"/>
      <c r="AC225" s="251"/>
      <c r="AD225" s="251"/>
      <c r="AE225" s="251"/>
    </row>
    <row r="226" spans="2:31" x14ac:dyDescent="0.2">
      <c r="B226" s="251"/>
      <c r="C226" s="251"/>
      <c r="D226" s="251"/>
      <c r="E226" s="251"/>
      <c r="F226" s="251"/>
      <c r="G226" s="251"/>
      <c r="H226" s="251"/>
      <c r="I226" s="251"/>
      <c r="J226" s="251"/>
      <c r="K226" s="251"/>
      <c r="L226" s="251"/>
      <c r="M226" s="251"/>
      <c r="N226" s="251"/>
      <c r="O226" s="251"/>
      <c r="P226" s="251"/>
      <c r="Q226" s="251"/>
      <c r="R226" s="251"/>
      <c r="S226" s="251"/>
      <c r="T226" s="251"/>
      <c r="U226" s="251"/>
      <c r="V226" s="251"/>
      <c r="W226" s="251"/>
      <c r="X226" s="251"/>
      <c r="Y226" s="251"/>
      <c r="Z226" s="251"/>
      <c r="AA226" s="251"/>
      <c r="AB226" s="251"/>
      <c r="AC226" s="251"/>
      <c r="AD226" s="251"/>
      <c r="AE226" s="251"/>
    </row>
    <row r="227" spans="2:31" x14ac:dyDescent="0.2">
      <c r="B227" s="251"/>
      <c r="C227" s="251"/>
      <c r="D227" s="251"/>
      <c r="E227" s="251"/>
      <c r="F227" s="251"/>
      <c r="G227" s="251"/>
      <c r="H227" s="251"/>
      <c r="I227" s="251"/>
      <c r="J227" s="251"/>
      <c r="K227" s="251"/>
      <c r="L227" s="251"/>
      <c r="M227" s="251"/>
      <c r="N227" s="251"/>
      <c r="O227" s="251"/>
      <c r="P227" s="251"/>
      <c r="Q227" s="251"/>
      <c r="R227" s="251"/>
      <c r="S227" s="251"/>
      <c r="T227" s="251"/>
      <c r="U227" s="251"/>
      <c r="V227" s="251"/>
      <c r="W227" s="251"/>
      <c r="X227" s="251"/>
      <c r="Y227" s="251"/>
      <c r="Z227" s="251"/>
      <c r="AA227" s="251"/>
      <c r="AB227" s="251"/>
      <c r="AC227" s="251"/>
      <c r="AD227" s="251"/>
      <c r="AE227" s="251"/>
    </row>
    <row r="228" spans="2:31" x14ac:dyDescent="0.2">
      <c r="B228" s="251"/>
      <c r="C228" s="251"/>
      <c r="D228" s="251"/>
      <c r="E228" s="251"/>
      <c r="F228" s="251"/>
      <c r="G228" s="251"/>
      <c r="H228" s="251"/>
      <c r="I228" s="251"/>
      <c r="J228" s="251"/>
      <c r="K228" s="251"/>
      <c r="L228" s="251"/>
      <c r="M228" s="251"/>
      <c r="N228" s="251"/>
      <c r="O228" s="251"/>
      <c r="P228" s="251"/>
      <c r="Q228" s="251"/>
      <c r="R228" s="251"/>
      <c r="S228" s="251"/>
      <c r="T228" s="251"/>
      <c r="U228" s="251"/>
      <c r="V228" s="251"/>
      <c r="W228" s="251"/>
      <c r="X228" s="251"/>
      <c r="Y228" s="251"/>
      <c r="Z228" s="251"/>
      <c r="AA228" s="251"/>
      <c r="AB228" s="251"/>
      <c r="AC228" s="251"/>
      <c r="AD228" s="251"/>
      <c r="AE228" s="251"/>
    </row>
    <row r="229" spans="2:31" x14ac:dyDescent="0.2">
      <c r="B229" s="251"/>
      <c r="C229" s="251"/>
      <c r="D229" s="251"/>
      <c r="E229" s="251"/>
      <c r="F229" s="251"/>
      <c r="G229" s="251"/>
      <c r="H229" s="251"/>
      <c r="I229" s="251"/>
      <c r="J229" s="251"/>
      <c r="K229" s="251"/>
      <c r="L229" s="251"/>
      <c r="M229" s="251"/>
      <c r="N229" s="251"/>
      <c r="O229" s="251"/>
      <c r="P229" s="251"/>
      <c r="Q229" s="251"/>
      <c r="R229" s="251"/>
      <c r="S229" s="251"/>
      <c r="T229" s="251"/>
      <c r="U229" s="251"/>
      <c r="V229" s="251"/>
      <c r="W229" s="251"/>
      <c r="X229" s="251"/>
      <c r="Y229" s="251"/>
      <c r="Z229" s="251"/>
      <c r="AA229" s="251"/>
      <c r="AB229" s="251"/>
      <c r="AC229" s="251"/>
      <c r="AD229" s="251"/>
      <c r="AE229" s="251"/>
    </row>
    <row r="230" spans="2:31" x14ac:dyDescent="0.2">
      <c r="B230" s="251"/>
      <c r="C230" s="251"/>
      <c r="D230" s="251"/>
      <c r="E230" s="251"/>
      <c r="F230" s="251"/>
      <c r="G230" s="251"/>
      <c r="H230" s="251"/>
      <c r="I230" s="251"/>
      <c r="J230" s="251"/>
      <c r="K230" s="251"/>
      <c r="L230" s="251"/>
      <c r="M230" s="251"/>
      <c r="N230" s="251"/>
      <c r="O230" s="251"/>
      <c r="P230" s="251"/>
      <c r="Q230" s="251"/>
      <c r="R230" s="251"/>
      <c r="S230" s="251"/>
      <c r="T230" s="251"/>
      <c r="U230" s="251"/>
      <c r="V230" s="251"/>
      <c r="W230" s="251"/>
      <c r="X230" s="251"/>
      <c r="Y230" s="251"/>
      <c r="Z230" s="251"/>
      <c r="AA230" s="251"/>
      <c r="AB230" s="251"/>
      <c r="AC230" s="251"/>
      <c r="AD230" s="251"/>
      <c r="AE230" s="251"/>
    </row>
    <row r="231" spans="2:31" x14ac:dyDescent="0.2">
      <c r="B231" s="251"/>
      <c r="C231" s="251"/>
      <c r="D231" s="251"/>
      <c r="E231" s="251"/>
      <c r="F231" s="251"/>
      <c r="G231" s="251"/>
      <c r="H231" s="251"/>
      <c r="I231" s="251"/>
      <c r="J231" s="251"/>
      <c r="K231" s="251"/>
      <c r="L231" s="251"/>
      <c r="M231" s="251"/>
      <c r="N231" s="251"/>
      <c r="O231" s="251"/>
      <c r="P231" s="251"/>
      <c r="Q231" s="251"/>
      <c r="R231" s="251"/>
      <c r="S231" s="251"/>
      <c r="T231" s="251"/>
      <c r="U231" s="251"/>
      <c r="V231" s="251"/>
      <c r="W231" s="251"/>
      <c r="X231" s="251"/>
      <c r="Y231" s="251"/>
      <c r="Z231" s="251"/>
      <c r="AA231" s="251"/>
      <c r="AB231" s="251"/>
      <c r="AC231" s="251"/>
      <c r="AD231" s="251"/>
      <c r="AE231" s="251"/>
    </row>
    <row r="232" spans="2:31" x14ac:dyDescent="0.2">
      <c r="B232" s="251"/>
      <c r="C232" s="251"/>
      <c r="D232" s="251"/>
      <c r="E232" s="251"/>
      <c r="F232" s="251"/>
      <c r="G232" s="251"/>
      <c r="H232" s="251"/>
      <c r="I232" s="251"/>
      <c r="J232" s="251"/>
      <c r="K232" s="251"/>
      <c r="L232" s="251"/>
      <c r="M232" s="251"/>
      <c r="N232" s="251"/>
      <c r="O232" s="251"/>
      <c r="P232" s="251"/>
      <c r="Q232" s="251"/>
      <c r="R232" s="251"/>
      <c r="S232" s="251"/>
      <c r="T232" s="251"/>
      <c r="U232" s="251"/>
      <c r="V232" s="251"/>
      <c r="W232" s="251"/>
      <c r="X232" s="251"/>
      <c r="Y232" s="251"/>
      <c r="Z232" s="251"/>
      <c r="AA232" s="251"/>
      <c r="AB232" s="251"/>
      <c r="AC232" s="251"/>
      <c r="AD232" s="251"/>
      <c r="AE232" s="251"/>
    </row>
    <row r="233" spans="2:31" x14ac:dyDescent="0.2">
      <c r="B233" s="251"/>
      <c r="C233" s="251"/>
      <c r="D233" s="251"/>
      <c r="E233" s="251"/>
      <c r="F233" s="251"/>
      <c r="G233" s="251"/>
      <c r="H233" s="251"/>
      <c r="I233" s="251"/>
      <c r="J233" s="251"/>
      <c r="K233" s="251"/>
      <c r="L233" s="251"/>
      <c r="M233" s="251"/>
      <c r="N233" s="251"/>
      <c r="O233" s="251"/>
      <c r="P233" s="251"/>
      <c r="Q233" s="251"/>
      <c r="R233" s="251"/>
      <c r="S233" s="251"/>
      <c r="T233" s="251"/>
      <c r="U233" s="251"/>
      <c r="V233" s="251"/>
      <c r="W233" s="251"/>
      <c r="X233" s="251"/>
      <c r="Y233" s="251"/>
      <c r="Z233" s="251"/>
      <c r="AA233" s="251"/>
      <c r="AB233" s="251"/>
      <c r="AC233" s="251"/>
      <c r="AD233" s="251"/>
      <c r="AE233" s="251"/>
    </row>
    <row r="234" spans="2:31" x14ac:dyDescent="0.2">
      <c r="B234" s="251"/>
      <c r="C234" s="251"/>
      <c r="D234" s="251"/>
      <c r="E234" s="251"/>
      <c r="F234" s="251"/>
      <c r="G234" s="251"/>
      <c r="H234" s="251"/>
      <c r="I234" s="251"/>
      <c r="J234" s="251"/>
      <c r="K234" s="251"/>
      <c r="L234" s="251"/>
      <c r="M234" s="251"/>
      <c r="N234" s="251"/>
      <c r="O234" s="251"/>
      <c r="P234" s="251"/>
      <c r="Q234" s="251"/>
      <c r="R234" s="251"/>
      <c r="S234" s="251"/>
      <c r="T234" s="251"/>
      <c r="U234" s="251"/>
      <c r="V234" s="251"/>
      <c r="W234" s="251"/>
      <c r="X234" s="251"/>
      <c r="Y234" s="251"/>
      <c r="Z234" s="251"/>
      <c r="AA234" s="251"/>
      <c r="AB234" s="251"/>
      <c r="AC234" s="251"/>
      <c r="AD234" s="251"/>
      <c r="AE234" s="251"/>
    </row>
    <row r="235" spans="2:31" x14ac:dyDescent="0.2">
      <c r="B235" s="251"/>
      <c r="C235" s="251"/>
      <c r="D235" s="251"/>
      <c r="E235" s="251"/>
      <c r="F235" s="251"/>
      <c r="G235" s="251"/>
      <c r="H235" s="251"/>
      <c r="I235" s="251"/>
      <c r="J235" s="251"/>
      <c r="K235" s="251"/>
      <c r="L235" s="251"/>
      <c r="M235" s="251"/>
      <c r="N235" s="251"/>
      <c r="O235" s="251"/>
      <c r="P235" s="251"/>
      <c r="Q235" s="251"/>
      <c r="R235" s="251"/>
      <c r="S235" s="251"/>
      <c r="T235" s="251"/>
      <c r="U235" s="251"/>
      <c r="V235" s="251"/>
      <c r="W235" s="251"/>
      <c r="X235" s="251"/>
      <c r="Y235" s="251"/>
      <c r="Z235" s="251"/>
      <c r="AA235" s="251"/>
      <c r="AB235" s="251"/>
      <c r="AC235" s="251"/>
      <c r="AD235" s="251"/>
      <c r="AE235" s="251"/>
    </row>
    <row r="236" spans="2:31" x14ac:dyDescent="0.2">
      <c r="B236" s="251"/>
      <c r="C236" s="251"/>
      <c r="D236" s="251"/>
      <c r="E236" s="251"/>
      <c r="F236" s="251"/>
      <c r="G236" s="251"/>
      <c r="H236" s="251"/>
      <c r="I236" s="251"/>
      <c r="J236" s="251"/>
      <c r="K236" s="251"/>
      <c r="L236" s="251"/>
      <c r="M236" s="251"/>
      <c r="N236" s="251"/>
      <c r="O236" s="251"/>
      <c r="P236" s="251"/>
      <c r="Q236" s="251"/>
      <c r="R236" s="251"/>
      <c r="S236" s="251"/>
      <c r="T236" s="251"/>
      <c r="U236" s="251"/>
      <c r="V236" s="251"/>
      <c r="W236" s="251"/>
      <c r="X236" s="251"/>
      <c r="Y236" s="251"/>
      <c r="Z236" s="251"/>
      <c r="AA236" s="251"/>
      <c r="AB236" s="251"/>
      <c r="AC236" s="251"/>
      <c r="AD236" s="251"/>
      <c r="AE236" s="251"/>
    </row>
    <row r="237" spans="2:31" x14ac:dyDescent="0.2">
      <c r="B237" s="251"/>
      <c r="C237" s="251"/>
      <c r="D237" s="251"/>
      <c r="E237" s="251"/>
      <c r="F237" s="251"/>
      <c r="G237" s="251"/>
      <c r="H237" s="251"/>
      <c r="I237" s="251"/>
      <c r="J237" s="251"/>
      <c r="K237" s="251"/>
      <c r="L237" s="251"/>
      <c r="M237" s="251"/>
      <c r="N237" s="251"/>
      <c r="O237" s="251"/>
      <c r="P237" s="251"/>
      <c r="Q237" s="251"/>
      <c r="R237" s="251"/>
      <c r="S237" s="251"/>
      <c r="T237" s="251"/>
      <c r="U237" s="251"/>
      <c r="V237" s="251"/>
      <c r="W237" s="251"/>
      <c r="X237" s="251"/>
      <c r="Y237" s="251"/>
      <c r="Z237" s="251"/>
      <c r="AA237" s="251"/>
      <c r="AB237" s="251"/>
      <c r="AC237" s="251"/>
      <c r="AD237" s="251"/>
      <c r="AE237" s="251"/>
    </row>
    <row r="238" spans="2:31" x14ac:dyDescent="0.2">
      <c r="B238" s="251"/>
      <c r="C238" s="251"/>
      <c r="D238" s="251"/>
      <c r="E238" s="251"/>
      <c r="F238" s="251"/>
      <c r="G238" s="251"/>
      <c r="H238" s="251"/>
      <c r="I238" s="251"/>
      <c r="J238" s="251"/>
      <c r="K238" s="251"/>
      <c r="L238" s="251"/>
      <c r="M238" s="251"/>
      <c r="N238" s="251"/>
      <c r="O238" s="251"/>
      <c r="P238" s="251"/>
      <c r="Q238" s="251"/>
      <c r="R238" s="251"/>
      <c r="S238" s="251"/>
      <c r="T238" s="251"/>
      <c r="U238" s="251"/>
      <c r="V238" s="251"/>
      <c r="W238" s="251"/>
      <c r="X238" s="251"/>
      <c r="Y238" s="251"/>
      <c r="Z238" s="251"/>
      <c r="AA238" s="251"/>
      <c r="AB238" s="251"/>
      <c r="AC238" s="251"/>
      <c r="AD238" s="251"/>
      <c r="AE238" s="251"/>
    </row>
    <row r="239" spans="2:31" x14ac:dyDescent="0.2">
      <c r="B239" s="251"/>
      <c r="C239" s="251"/>
      <c r="D239" s="251"/>
      <c r="E239" s="251"/>
      <c r="F239" s="251"/>
      <c r="G239" s="251"/>
      <c r="H239" s="251"/>
      <c r="I239" s="251"/>
      <c r="J239" s="251"/>
      <c r="K239" s="251"/>
      <c r="L239" s="251"/>
      <c r="M239" s="251"/>
      <c r="N239" s="251"/>
      <c r="O239" s="251"/>
      <c r="P239" s="251"/>
      <c r="Q239" s="251"/>
      <c r="R239" s="251"/>
      <c r="S239" s="251"/>
      <c r="T239" s="251"/>
      <c r="U239" s="251"/>
      <c r="V239" s="251"/>
      <c r="W239" s="251"/>
      <c r="X239" s="251"/>
      <c r="Y239" s="251"/>
      <c r="Z239" s="251"/>
      <c r="AA239" s="251"/>
      <c r="AB239" s="251"/>
      <c r="AC239" s="251"/>
      <c r="AD239" s="251"/>
      <c r="AE239" s="251"/>
    </row>
    <row r="240" spans="2:31" x14ac:dyDescent="0.2">
      <c r="B240" s="251"/>
      <c r="C240" s="251"/>
      <c r="D240" s="251"/>
      <c r="E240" s="251"/>
      <c r="F240" s="251"/>
      <c r="G240" s="251"/>
      <c r="H240" s="251"/>
      <c r="I240" s="251"/>
      <c r="J240" s="251"/>
      <c r="K240" s="251"/>
      <c r="L240" s="251"/>
      <c r="M240" s="251"/>
      <c r="N240" s="251"/>
      <c r="O240" s="251"/>
      <c r="P240" s="251"/>
      <c r="Q240" s="251"/>
      <c r="R240" s="251"/>
      <c r="S240" s="251"/>
      <c r="T240" s="251"/>
      <c r="U240" s="251"/>
      <c r="V240" s="251"/>
      <c r="W240" s="251"/>
      <c r="X240" s="251"/>
      <c r="Y240" s="251"/>
      <c r="Z240" s="251"/>
      <c r="AA240" s="251"/>
      <c r="AB240" s="251"/>
      <c r="AC240" s="251"/>
      <c r="AD240" s="251"/>
      <c r="AE240" s="251"/>
    </row>
    <row r="241" spans="2:31" x14ac:dyDescent="0.2">
      <c r="B241" s="251"/>
      <c r="C241" s="251"/>
      <c r="D241" s="251"/>
      <c r="E241" s="251"/>
      <c r="F241" s="251"/>
      <c r="G241" s="251"/>
      <c r="H241" s="251"/>
      <c r="I241" s="251"/>
      <c r="J241" s="251"/>
      <c r="K241" s="251"/>
      <c r="L241" s="251"/>
      <c r="M241" s="251"/>
      <c r="N241" s="251"/>
      <c r="O241" s="251"/>
      <c r="P241" s="251"/>
      <c r="Q241" s="251"/>
      <c r="R241" s="251"/>
      <c r="S241" s="251"/>
      <c r="T241" s="251"/>
      <c r="U241" s="251"/>
      <c r="V241" s="251"/>
      <c r="W241" s="251"/>
      <c r="X241" s="251"/>
      <c r="Y241" s="251"/>
      <c r="Z241" s="251"/>
      <c r="AA241" s="251"/>
      <c r="AB241" s="251"/>
      <c r="AC241" s="251"/>
      <c r="AD241" s="251"/>
      <c r="AE241" s="251"/>
    </row>
    <row r="242" spans="2:31" x14ac:dyDescent="0.2">
      <c r="B242" s="251"/>
      <c r="C242" s="251"/>
      <c r="D242" s="251"/>
      <c r="E242" s="251"/>
      <c r="F242" s="251"/>
      <c r="G242" s="251"/>
      <c r="H242" s="251"/>
      <c r="I242" s="251"/>
      <c r="J242" s="251"/>
      <c r="K242" s="251"/>
      <c r="L242" s="251"/>
      <c r="M242" s="251"/>
      <c r="N242" s="251"/>
      <c r="O242" s="251"/>
      <c r="P242" s="251"/>
      <c r="Q242" s="251"/>
      <c r="R242" s="251"/>
      <c r="S242" s="251"/>
      <c r="T242" s="251"/>
      <c r="U242" s="251"/>
      <c r="V242" s="251"/>
      <c r="W242" s="251"/>
      <c r="X242" s="251"/>
      <c r="Y242" s="251"/>
      <c r="Z242" s="251"/>
      <c r="AA242" s="251"/>
      <c r="AB242" s="251"/>
      <c r="AC242" s="251"/>
      <c r="AD242" s="251"/>
      <c r="AE242" s="251"/>
    </row>
    <row r="243" spans="2:31" x14ac:dyDescent="0.2">
      <c r="B243" s="251"/>
      <c r="C243" s="251"/>
      <c r="D243" s="251"/>
      <c r="E243" s="251"/>
      <c r="F243" s="251"/>
      <c r="G243" s="251"/>
      <c r="H243" s="251"/>
      <c r="I243" s="251"/>
      <c r="J243" s="251"/>
      <c r="K243" s="251"/>
      <c r="L243" s="251"/>
      <c r="M243" s="251"/>
      <c r="N243" s="251"/>
      <c r="O243" s="251"/>
      <c r="P243" s="251"/>
      <c r="Q243" s="251"/>
      <c r="R243" s="251"/>
      <c r="S243" s="251"/>
      <c r="T243" s="251"/>
      <c r="U243" s="251"/>
      <c r="V243" s="251"/>
      <c r="W243" s="251"/>
      <c r="X243" s="251"/>
      <c r="Y243" s="251"/>
      <c r="Z243" s="251"/>
      <c r="AA243" s="251"/>
      <c r="AB243" s="251"/>
      <c r="AC243" s="251"/>
      <c r="AD243" s="251"/>
      <c r="AE243" s="251"/>
    </row>
    <row r="244" spans="2:31" x14ac:dyDescent="0.2">
      <c r="B244" s="251"/>
      <c r="C244" s="251"/>
      <c r="D244" s="251"/>
      <c r="E244" s="251"/>
      <c r="F244" s="251"/>
      <c r="G244" s="251"/>
      <c r="H244" s="251"/>
      <c r="I244" s="251"/>
      <c r="J244" s="251"/>
      <c r="K244" s="251"/>
      <c r="L244" s="251"/>
      <c r="M244" s="251"/>
      <c r="N244" s="251"/>
      <c r="O244" s="251"/>
      <c r="P244" s="251"/>
      <c r="Q244" s="251"/>
      <c r="R244" s="251"/>
      <c r="S244" s="251"/>
      <c r="T244" s="251"/>
      <c r="U244" s="251"/>
      <c r="V244" s="251"/>
      <c r="W244" s="251"/>
      <c r="X244" s="251"/>
      <c r="Y244" s="251"/>
      <c r="Z244" s="251"/>
      <c r="AA244" s="251"/>
      <c r="AB244" s="251"/>
      <c r="AC244" s="251"/>
      <c r="AD244" s="251"/>
      <c r="AE244" s="251"/>
    </row>
    <row r="245" spans="2:31" x14ac:dyDescent="0.2">
      <c r="B245" s="251"/>
      <c r="C245" s="251"/>
      <c r="D245" s="251"/>
      <c r="E245" s="251"/>
      <c r="F245" s="251"/>
      <c r="G245" s="251"/>
      <c r="H245" s="251"/>
      <c r="I245" s="251"/>
      <c r="J245" s="251"/>
      <c r="K245" s="251"/>
      <c r="L245" s="251"/>
      <c r="M245" s="251"/>
      <c r="N245" s="251"/>
      <c r="O245" s="251"/>
      <c r="P245" s="251"/>
      <c r="Q245" s="251"/>
      <c r="R245" s="251"/>
      <c r="S245" s="251"/>
      <c r="T245" s="251"/>
      <c r="U245" s="251"/>
      <c r="V245" s="251"/>
      <c r="W245" s="251"/>
      <c r="X245" s="251"/>
      <c r="Y245" s="251"/>
      <c r="Z245" s="251"/>
      <c r="AA245" s="251"/>
      <c r="AB245" s="251"/>
      <c r="AC245" s="251"/>
      <c r="AD245" s="251"/>
      <c r="AE245" s="251"/>
    </row>
    <row r="246" spans="2:31" x14ac:dyDescent="0.2">
      <c r="B246" s="251"/>
      <c r="C246" s="251"/>
      <c r="D246" s="251"/>
      <c r="E246" s="251"/>
      <c r="F246" s="251"/>
      <c r="G246" s="251"/>
      <c r="H246" s="251"/>
      <c r="I246" s="251"/>
      <c r="J246" s="251"/>
      <c r="K246" s="251"/>
      <c r="L246" s="251"/>
      <c r="M246" s="251"/>
      <c r="N246" s="251"/>
      <c r="O246" s="251"/>
      <c r="P246" s="251"/>
      <c r="Q246" s="251"/>
      <c r="R246" s="251"/>
      <c r="S246" s="251"/>
      <c r="T246" s="251"/>
      <c r="U246" s="251"/>
      <c r="V246" s="251"/>
      <c r="W246" s="251"/>
      <c r="X246" s="251"/>
      <c r="Y246" s="251"/>
      <c r="Z246" s="251"/>
      <c r="AA246" s="251"/>
      <c r="AB246" s="251"/>
      <c r="AC246" s="251"/>
      <c r="AD246" s="251"/>
      <c r="AE246" s="251"/>
    </row>
    <row r="247" spans="2:31" x14ac:dyDescent="0.2">
      <c r="B247" s="251"/>
      <c r="C247" s="251"/>
      <c r="D247" s="251"/>
      <c r="E247" s="251"/>
      <c r="F247" s="251"/>
      <c r="G247" s="251"/>
      <c r="H247" s="251"/>
      <c r="I247" s="251"/>
      <c r="J247" s="251"/>
      <c r="K247" s="251"/>
      <c r="L247" s="251"/>
      <c r="M247" s="251"/>
      <c r="N247" s="251"/>
      <c r="O247" s="251"/>
      <c r="P247" s="251"/>
      <c r="Q247" s="251"/>
      <c r="R247" s="251"/>
      <c r="S247" s="251"/>
      <c r="T247" s="251"/>
      <c r="U247" s="251"/>
      <c r="V247" s="251"/>
      <c r="W247" s="251"/>
      <c r="X247" s="251"/>
      <c r="Y247" s="251"/>
      <c r="Z247" s="251"/>
      <c r="AA247" s="251"/>
      <c r="AB247" s="251"/>
      <c r="AC247" s="251"/>
      <c r="AD247" s="251"/>
      <c r="AE247" s="251"/>
    </row>
    <row r="248" spans="2:31" x14ac:dyDescent="0.2">
      <c r="B248" s="251"/>
      <c r="C248" s="251"/>
      <c r="D248" s="251"/>
      <c r="E248" s="251"/>
      <c r="F248" s="251"/>
      <c r="G248" s="251"/>
      <c r="H248" s="251"/>
      <c r="I248" s="251"/>
      <c r="J248" s="251"/>
      <c r="K248" s="251"/>
      <c r="L248" s="251"/>
      <c r="M248" s="251"/>
      <c r="N248" s="251"/>
      <c r="O248" s="251"/>
      <c r="P248" s="251"/>
      <c r="Q248" s="251"/>
      <c r="R248" s="251"/>
      <c r="S248" s="251"/>
      <c r="T248" s="251"/>
      <c r="U248" s="251"/>
      <c r="V248" s="251"/>
      <c r="W248" s="251"/>
      <c r="X248" s="251"/>
      <c r="Y248" s="251"/>
      <c r="Z248" s="251"/>
      <c r="AA248" s="251"/>
      <c r="AB248" s="251"/>
      <c r="AC248" s="251"/>
      <c r="AD248" s="251"/>
      <c r="AE248" s="251"/>
    </row>
    <row r="249" spans="2:31" x14ac:dyDescent="0.2">
      <c r="B249" s="251"/>
      <c r="C249" s="251"/>
      <c r="D249" s="251"/>
      <c r="E249" s="251"/>
      <c r="F249" s="251"/>
      <c r="G249" s="251"/>
      <c r="H249" s="251"/>
      <c r="I249" s="251"/>
      <c r="J249" s="251"/>
      <c r="K249" s="251"/>
      <c r="L249" s="251"/>
      <c r="M249" s="251"/>
      <c r="N249" s="251"/>
      <c r="O249" s="251"/>
      <c r="P249" s="251"/>
      <c r="Q249" s="251"/>
      <c r="R249" s="251"/>
      <c r="S249" s="251"/>
      <c r="T249" s="251"/>
      <c r="U249" s="251"/>
      <c r="V249" s="251"/>
      <c r="W249" s="251"/>
      <c r="X249" s="251"/>
      <c r="Y249" s="251"/>
      <c r="Z249" s="251"/>
      <c r="AA249" s="251"/>
      <c r="AB249" s="251"/>
      <c r="AC249" s="251"/>
      <c r="AD249" s="251"/>
      <c r="AE249" s="251"/>
    </row>
    <row r="250" spans="2:31" x14ac:dyDescent="0.2">
      <c r="B250" s="251"/>
      <c r="C250" s="251"/>
      <c r="D250" s="251"/>
      <c r="E250" s="251"/>
      <c r="F250" s="251"/>
      <c r="G250" s="251"/>
      <c r="H250" s="251"/>
      <c r="I250" s="251"/>
      <c r="J250" s="251"/>
      <c r="K250" s="251"/>
      <c r="L250" s="251"/>
      <c r="M250" s="251"/>
      <c r="N250" s="251"/>
      <c r="O250" s="251"/>
      <c r="P250" s="251"/>
      <c r="Q250" s="251"/>
      <c r="R250" s="251"/>
      <c r="S250" s="251"/>
      <c r="T250" s="251"/>
      <c r="U250" s="251"/>
      <c r="V250" s="251"/>
      <c r="W250" s="251"/>
      <c r="X250" s="251"/>
      <c r="Y250" s="251"/>
      <c r="Z250" s="251"/>
      <c r="AA250" s="251"/>
      <c r="AB250" s="251"/>
      <c r="AC250" s="251"/>
      <c r="AD250" s="251"/>
      <c r="AE250" s="251"/>
    </row>
    <row r="251" spans="2:31" x14ac:dyDescent="0.2">
      <c r="B251" s="251"/>
      <c r="C251" s="251"/>
      <c r="D251" s="251"/>
      <c r="E251" s="251"/>
      <c r="F251" s="251"/>
      <c r="G251" s="251"/>
      <c r="H251" s="251"/>
      <c r="I251" s="251"/>
      <c r="J251" s="251"/>
      <c r="K251" s="251"/>
      <c r="L251" s="251"/>
      <c r="M251" s="251"/>
      <c r="N251" s="251"/>
      <c r="O251" s="251"/>
      <c r="P251" s="251"/>
      <c r="Q251" s="251"/>
      <c r="R251" s="251"/>
      <c r="S251" s="251"/>
      <c r="T251" s="251"/>
      <c r="U251" s="251"/>
      <c r="V251" s="251"/>
      <c r="W251" s="251"/>
      <c r="X251" s="251"/>
      <c r="Y251" s="251"/>
      <c r="Z251" s="251"/>
      <c r="AA251" s="251"/>
      <c r="AB251" s="251"/>
      <c r="AC251" s="251"/>
      <c r="AD251" s="251"/>
      <c r="AE251" s="251"/>
    </row>
    <row r="252" spans="2:31" x14ac:dyDescent="0.2">
      <c r="B252" s="251"/>
      <c r="C252" s="251"/>
      <c r="D252" s="251"/>
      <c r="E252" s="251"/>
      <c r="F252" s="251"/>
      <c r="G252" s="251"/>
      <c r="H252" s="251"/>
      <c r="I252" s="251"/>
      <c r="J252" s="251"/>
      <c r="K252" s="251"/>
      <c r="L252" s="251"/>
      <c r="M252" s="251"/>
      <c r="N252" s="251"/>
      <c r="O252" s="251"/>
      <c r="P252" s="251"/>
      <c r="Q252" s="251"/>
      <c r="R252" s="251"/>
      <c r="S252" s="251"/>
      <c r="T252" s="251"/>
      <c r="U252" s="251"/>
      <c r="V252" s="251"/>
      <c r="W252" s="251"/>
      <c r="X252" s="251"/>
      <c r="Y252" s="251"/>
      <c r="Z252" s="251"/>
      <c r="AA252" s="251"/>
      <c r="AB252" s="251"/>
      <c r="AC252" s="251"/>
      <c r="AD252" s="251"/>
      <c r="AE252" s="251"/>
    </row>
    <row r="253" spans="2:31" x14ac:dyDescent="0.2">
      <c r="B253" s="251"/>
      <c r="C253" s="251"/>
      <c r="D253" s="251"/>
      <c r="E253" s="251"/>
      <c r="F253" s="251"/>
      <c r="G253" s="251"/>
      <c r="H253" s="251"/>
      <c r="I253" s="251"/>
      <c r="J253" s="251"/>
      <c r="K253" s="251"/>
      <c r="L253" s="251"/>
      <c r="M253" s="251"/>
      <c r="N253" s="251"/>
      <c r="O253" s="251"/>
      <c r="P253" s="251"/>
      <c r="Q253" s="251"/>
      <c r="R253" s="251"/>
      <c r="S253" s="251"/>
      <c r="T253" s="251"/>
      <c r="U253" s="251"/>
      <c r="V253" s="251"/>
      <c r="W253" s="251"/>
      <c r="X253" s="251"/>
      <c r="Y253" s="251"/>
      <c r="Z253" s="251"/>
      <c r="AA253" s="251"/>
      <c r="AB253" s="251"/>
      <c r="AC253" s="251"/>
      <c r="AD253" s="251"/>
      <c r="AE253" s="251"/>
    </row>
    <row r="254" spans="2:31" x14ac:dyDescent="0.2">
      <c r="B254" s="251"/>
      <c r="C254" s="251"/>
      <c r="D254" s="251"/>
      <c r="E254" s="251"/>
      <c r="F254" s="251"/>
      <c r="G254" s="251"/>
      <c r="H254" s="251"/>
      <c r="I254" s="251"/>
      <c r="J254" s="251"/>
      <c r="K254" s="251"/>
      <c r="L254" s="251"/>
      <c r="M254" s="251"/>
      <c r="N254" s="251"/>
      <c r="O254" s="251"/>
      <c r="P254" s="251"/>
      <c r="Q254" s="251"/>
      <c r="R254" s="251"/>
      <c r="S254" s="251"/>
      <c r="T254" s="251"/>
      <c r="U254" s="251"/>
      <c r="V254" s="251"/>
      <c r="W254" s="251"/>
      <c r="X254" s="251"/>
      <c r="Y254" s="251"/>
      <c r="Z254" s="251"/>
      <c r="AA254" s="251"/>
      <c r="AB254" s="251"/>
      <c r="AC254" s="251"/>
      <c r="AD254" s="251"/>
      <c r="AE254" s="251"/>
    </row>
    <row r="255" spans="2:31" x14ac:dyDescent="0.2">
      <c r="B255" s="251"/>
      <c r="C255" s="251"/>
      <c r="D255" s="251"/>
      <c r="E255" s="251"/>
      <c r="F255" s="251"/>
      <c r="G255" s="251"/>
      <c r="H255" s="251"/>
      <c r="I255" s="251"/>
      <c r="J255" s="251"/>
      <c r="K255" s="251"/>
      <c r="L255" s="251"/>
      <c r="M255" s="251"/>
      <c r="N255" s="251"/>
      <c r="O255" s="251"/>
      <c r="P255" s="251"/>
      <c r="Q255" s="251"/>
      <c r="R255" s="251"/>
      <c r="S255" s="251"/>
      <c r="T255" s="251"/>
      <c r="U255" s="251"/>
      <c r="V255" s="251"/>
      <c r="W255" s="251"/>
      <c r="X255" s="251"/>
      <c r="Y255" s="251"/>
      <c r="Z255" s="251"/>
      <c r="AA255" s="251"/>
      <c r="AB255" s="251"/>
      <c r="AC255" s="251"/>
      <c r="AD255" s="251"/>
      <c r="AE255" s="251"/>
    </row>
    <row r="256" spans="2:31" x14ac:dyDescent="0.2">
      <c r="B256" s="251"/>
      <c r="C256" s="251"/>
      <c r="D256" s="251"/>
      <c r="E256" s="251"/>
      <c r="F256" s="251"/>
      <c r="G256" s="251"/>
      <c r="H256" s="251"/>
      <c r="I256" s="251"/>
      <c r="J256" s="251"/>
      <c r="K256" s="251"/>
      <c r="L256" s="251"/>
      <c r="M256" s="251"/>
      <c r="N256" s="251"/>
      <c r="O256" s="251"/>
      <c r="P256" s="251"/>
      <c r="Q256" s="251"/>
      <c r="R256" s="251"/>
      <c r="S256" s="251"/>
      <c r="T256" s="251"/>
      <c r="U256" s="251"/>
      <c r="V256" s="251"/>
      <c r="W256" s="251"/>
      <c r="X256" s="251"/>
      <c r="Y256" s="251"/>
      <c r="Z256" s="251"/>
      <c r="AA256" s="251"/>
      <c r="AB256" s="251"/>
      <c r="AC256" s="251"/>
      <c r="AD256" s="251"/>
      <c r="AE256" s="251"/>
    </row>
    <row r="257" spans="2:31" x14ac:dyDescent="0.2">
      <c r="B257" s="251"/>
      <c r="C257" s="251"/>
      <c r="D257" s="251"/>
      <c r="E257" s="251"/>
      <c r="F257" s="251"/>
      <c r="G257" s="251"/>
      <c r="H257" s="251"/>
      <c r="I257" s="251"/>
      <c r="J257" s="251"/>
      <c r="K257" s="251"/>
      <c r="L257" s="251"/>
      <c r="M257" s="251"/>
      <c r="N257" s="251"/>
      <c r="O257" s="251"/>
      <c r="P257" s="251"/>
      <c r="Q257" s="251"/>
      <c r="R257" s="251"/>
      <c r="S257" s="251"/>
      <c r="T257" s="251"/>
      <c r="U257" s="251"/>
      <c r="V257" s="251"/>
      <c r="W257" s="251"/>
      <c r="X257" s="251"/>
      <c r="Y257" s="251"/>
      <c r="Z257" s="251"/>
      <c r="AA257" s="251"/>
      <c r="AB257" s="251"/>
      <c r="AC257" s="251"/>
      <c r="AD257" s="251"/>
      <c r="AE257" s="251"/>
    </row>
    <row r="258" spans="2:31" x14ac:dyDescent="0.2">
      <c r="B258" s="251"/>
      <c r="C258" s="251"/>
      <c r="D258" s="251"/>
      <c r="E258" s="251"/>
      <c r="F258" s="251"/>
      <c r="G258" s="251"/>
      <c r="H258" s="251"/>
      <c r="I258" s="251"/>
      <c r="J258" s="251"/>
      <c r="K258" s="251"/>
      <c r="L258" s="251"/>
      <c r="M258" s="251"/>
      <c r="N258" s="251"/>
      <c r="O258" s="251"/>
      <c r="P258" s="251"/>
      <c r="Q258" s="251"/>
      <c r="R258" s="251"/>
      <c r="S258" s="251"/>
      <c r="T258" s="251"/>
      <c r="U258" s="251"/>
      <c r="V258" s="251"/>
      <c r="W258" s="251"/>
      <c r="X258" s="251"/>
      <c r="Y258" s="251"/>
      <c r="Z258" s="251"/>
      <c r="AA258" s="251"/>
      <c r="AB258" s="251"/>
      <c r="AC258" s="251"/>
      <c r="AD258" s="251"/>
      <c r="AE258" s="251"/>
    </row>
    <row r="259" spans="2:31" x14ac:dyDescent="0.2">
      <c r="B259" s="251"/>
      <c r="C259" s="251"/>
      <c r="D259" s="251"/>
      <c r="E259" s="251"/>
      <c r="F259" s="251"/>
      <c r="G259" s="251"/>
      <c r="H259" s="251"/>
      <c r="I259" s="251"/>
      <c r="J259" s="251"/>
      <c r="K259" s="251"/>
      <c r="L259" s="251"/>
      <c r="M259" s="251"/>
      <c r="N259" s="251"/>
      <c r="O259" s="251"/>
      <c r="P259" s="251"/>
      <c r="Q259" s="251"/>
      <c r="R259" s="251"/>
      <c r="S259" s="251"/>
      <c r="T259" s="251"/>
      <c r="U259" s="251"/>
      <c r="V259" s="251"/>
      <c r="W259" s="251"/>
      <c r="X259" s="251"/>
      <c r="Y259" s="251"/>
      <c r="Z259" s="251"/>
      <c r="AA259" s="251"/>
      <c r="AB259" s="251"/>
      <c r="AC259" s="251"/>
      <c r="AD259" s="251"/>
      <c r="AE259" s="251"/>
    </row>
    <row r="260" spans="2:31" x14ac:dyDescent="0.2">
      <c r="B260" s="251"/>
      <c r="C260" s="251"/>
      <c r="D260" s="251"/>
      <c r="E260" s="251"/>
      <c r="F260" s="251"/>
      <c r="G260" s="251"/>
      <c r="H260" s="251"/>
      <c r="I260" s="251"/>
      <c r="J260" s="251"/>
      <c r="K260" s="251"/>
      <c r="L260" s="251"/>
      <c r="M260" s="251"/>
      <c r="N260" s="251"/>
      <c r="O260" s="251"/>
      <c r="P260" s="251"/>
      <c r="Q260" s="251"/>
      <c r="R260" s="251"/>
      <c r="S260" s="251"/>
      <c r="T260" s="251"/>
      <c r="U260" s="251"/>
      <c r="V260" s="251"/>
      <c r="W260" s="251"/>
      <c r="X260" s="251"/>
      <c r="Y260" s="251"/>
      <c r="Z260" s="251"/>
      <c r="AA260" s="251"/>
      <c r="AB260" s="251"/>
      <c r="AC260" s="251"/>
      <c r="AD260" s="251"/>
      <c r="AE260" s="251"/>
    </row>
    <row r="261" spans="2:31" x14ac:dyDescent="0.2">
      <c r="B261" s="251"/>
      <c r="C261" s="251"/>
      <c r="D261" s="251"/>
      <c r="E261" s="251"/>
      <c r="F261" s="251"/>
      <c r="G261" s="251"/>
      <c r="H261" s="251"/>
      <c r="I261" s="251"/>
      <c r="J261" s="251"/>
      <c r="K261" s="251"/>
      <c r="L261" s="251"/>
      <c r="M261" s="251"/>
      <c r="N261" s="251"/>
      <c r="O261" s="251"/>
      <c r="P261" s="251"/>
      <c r="Q261" s="251"/>
      <c r="R261" s="251"/>
      <c r="S261" s="251"/>
      <c r="T261" s="251"/>
      <c r="U261" s="251"/>
      <c r="V261" s="251"/>
      <c r="W261" s="251"/>
      <c r="X261" s="251"/>
      <c r="Y261" s="251"/>
      <c r="Z261" s="251"/>
      <c r="AA261" s="251"/>
      <c r="AB261" s="251"/>
      <c r="AC261" s="251"/>
      <c r="AD261" s="251"/>
      <c r="AE261" s="251"/>
    </row>
    <row r="262" spans="2:31" x14ac:dyDescent="0.2">
      <c r="B262" s="251"/>
      <c r="C262" s="251"/>
      <c r="D262" s="251"/>
      <c r="E262" s="251"/>
      <c r="F262" s="251"/>
      <c r="G262" s="251"/>
      <c r="H262" s="251"/>
      <c r="I262" s="251"/>
      <c r="J262" s="251"/>
      <c r="K262" s="251"/>
      <c r="L262" s="251"/>
      <c r="M262" s="251"/>
      <c r="N262" s="251"/>
      <c r="O262" s="251"/>
      <c r="P262" s="251"/>
      <c r="Q262" s="251"/>
      <c r="R262" s="251"/>
      <c r="S262" s="251"/>
      <c r="T262" s="251"/>
      <c r="U262" s="251"/>
      <c r="V262" s="251"/>
      <c r="W262" s="251"/>
      <c r="X262" s="251"/>
      <c r="Y262" s="251"/>
      <c r="Z262" s="251"/>
      <c r="AA262" s="251"/>
      <c r="AB262" s="251"/>
      <c r="AC262" s="251"/>
      <c r="AD262" s="251"/>
      <c r="AE262" s="251"/>
    </row>
    <row r="263" spans="2:31" x14ac:dyDescent="0.2">
      <c r="B263" s="251"/>
      <c r="C263" s="251"/>
      <c r="D263" s="251"/>
      <c r="E263" s="251"/>
      <c r="F263" s="251"/>
      <c r="G263" s="251"/>
      <c r="H263" s="251"/>
      <c r="I263" s="251"/>
      <c r="J263" s="251"/>
      <c r="K263" s="251"/>
      <c r="L263" s="251"/>
      <c r="M263" s="251"/>
      <c r="N263" s="251"/>
      <c r="O263" s="251"/>
      <c r="P263" s="251"/>
      <c r="Q263" s="251"/>
      <c r="R263" s="251"/>
      <c r="S263" s="251"/>
      <c r="T263" s="251"/>
      <c r="U263" s="251"/>
      <c r="V263" s="251"/>
      <c r="W263" s="251"/>
      <c r="X263" s="251"/>
      <c r="Y263" s="251"/>
      <c r="Z263" s="251"/>
      <c r="AA263" s="251"/>
      <c r="AB263" s="251"/>
      <c r="AC263" s="251"/>
      <c r="AD263" s="251"/>
      <c r="AE263" s="251"/>
    </row>
    <row r="264" spans="2:31" x14ac:dyDescent="0.2">
      <c r="B264" s="251"/>
      <c r="C264" s="251"/>
      <c r="D264" s="251"/>
      <c r="E264" s="251"/>
      <c r="F264" s="251"/>
      <c r="G264" s="251"/>
      <c r="H264" s="251"/>
      <c r="I264" s="251"/>
      <c r="J264" s="251"/>
      <c r="K264" s="251"/>
      <c r="L264" s="251"/>
      <c r="M264" s="251"/>
      <c r="N264" s="251"/>
      <c r="O264" s="251"/>
      <c r="P264" s="251"/>
      <c r="Q264" s="251"/>
      <c r="R264" s="251"/>
      <c r="S264" s="251"/>
      <c r="T264" s="251"/>
      <c r="U264" s="251"/>
      <c r="V264" s="251"/>
      <c r="W264" s="251"/>
      <c r="X264" s="251"/>
      <c r="Y264" s="251"/>
      <c r="Z264" s="251"/>
      <c r="AA264" s="251"/>
      <c r="AB264" s="251"/>
      <c r="AC264" s="251"/>
      <c r="AD264" s="251"/>
      <c r="AE264" s="251"/>
    </row>
    <row r="265" spans="2:31" x14ac:dyDescent="0.2">
      <c r="B265" s="251"/>
      <c r="C265" s="251"/>
      <c r="D265" s="251"/>
      <c r="E265" s="251"/>
      <c r="F265" s="251"/>
      <c r="G265" s="251"/>
      <c r="H265" s="251"/>
      <c r="I265" s="251"/>
      <c r="J265" s="251"/>
      <c r="K265" s="251"/>
      <c r="L265" s="251"/>
      <c r="M265" s="251"/>
      <c r="N265" s="251"/>
      <c r="O265" s="251"/>
      <c r="P265" s="251"/>
      <c r="Q265" s="251"/>
      <c r="R265" s="251"/>
      <c r="S265" s="251"/>
      <c r="T265" s="251"/>
      <c r="U265" s="251"/>
      <c r="V265" s="251"/>
      <c r="W265" s="251"/>
      <c r="X265" s="251"/>
      <c r="Y265" s="251"/>
      <c r="Z265" s="251"/>
      <c r="AA265" s="251"/>
      <c r="AB265" s="251"/>
      <c r="AC265" s="251"/>
      <c r="AD265" s="251"/>
      <c r="AE265" s="251"/>
    </row>
    <row r="266" spans="2:31" x14ac:dyDescent="0.2">
      <c r="B266" s="251"/>
      <c r="C266" s="251"/>
      <c r="D266" s="251"/>
      <c r="E266" s="251"/>
      <c r="F266" s="251"/>
      <c r="G266" s="251"/>
      <c r="H266" s="251"/>
      <c r="I266" s="251"/>
      <c r="J266" s="251"/>
      <c r="K266" s="251"/>
      <c r="L266" s="251"/>
      <c r="M266" s="251"/>
      <c r="N266" s="251"/>
      <c r="O266" s="251"/>
      <c r="P266" s="251"/>
      <c r="Q266" s="251"/>
      <c r="R266" s="251"/>
      <c r="S266" s="251"/>
      <c r="T266" s="251"/>
      <c r="U266" s="251"/>
      <c r="V266" s="251"/>
      <c r="W266" s="251"/>
      <c r="X266" s="251"/>
      <c r="Y266" s="251"/>
      <c r="Z266" s="251"/>
      <c r="AA266" s="251"/>
      <c r="AB266" s="251"/>
      <c r="AC266" s="251"/>
      <c r="AD266" s="251"/>
      <c r="AE266" s="251"/>
    </row>
    <row r="267" spans="2:31" x14ac:dyDescent="0.2">
      <c r="B267" s="251"/>
      <c r="C267" s="251"/>
      <c r="D267" s="251"/>
      <c r="E267" s="251"/>
      <c r="F267" s="251"/>
      <c r="G267" s="251"/>
      <c r="H267" s="251"/>
      <c r="I267" s="251"/>
      <c r="J267" s="251"/>
      <c r="K267" s="251"/>
      <c r="L267" s="251"/>
      <c r="M267" s="251"/>
      <c r="N267" s="251"/>
      <c r="O267" s="251"/>
      <c r="P267" s="251"/>
      <c r="Q267" s="251"/>
      <c r="R267" s="251"/>
      <c r="S267" s="251"/>
      <c r="T267" s="251"/>
      <c r="U267" s="251"/>
      <c r="V267" s="251"/>
      <c r="W267" s="251"/>
      <c r="X267" s="251"/>
      <c r="Y267" s="251"/>
      <c r="Z267" s="251"/>
      <c r="AA267" s="251"/>
      <c r="AB267" s="251"/>
      <c r="AC267" s="251"/>
      <c r="AD267" s="251"/>
      <c r="AE267" s="251"/>
    </row>
    <row r="268" spans="2:31" x14ac:dyDescent="0.2">
      <c r="B268" s="251"/>
      <c r="C268" s="251"/>
      <c r="D268" s="251"/>
      <c r="E268" s="251"/>
      <c r="F268" s="251"/>
      <c r="G268" s="251"/>
      <c r="H268" s="251"/>
      <c r="I268" s="251"/>
      <c r="J268" s="251"/>
      <c r="K268" s="251"/>
      <c r="L268" s="251"/>
      <c r="M268" s="251"/>
      <c r="N268" s="251"/>
      <c r="O268" s="251"/>
      <c r="P268" s="251"/>
      <c r="Q268" s="251"/>
      <c r="R268" s="251"/>
      <c r="S268" s="251"/>
      <c r="T268" s="251"/>
      <c r="U268" s="251"/>
      <c r="V268" s="251"/>
      <c r="W268" s="251"/>
      <c r="X268" s="251"/>
      <c r="Y268" s="251"/>
      <c r="Z268" s="251"/>
      <c r="AA268" s="251"/>
      <c r="AB268" s="251"/>
      <c r="AC268" s="251"/>
      <c r="AD268" s="251"/>
      <c r="AE268" s="251"/>
    </row>
    <row r="269" spans="2:31" x14ac:dyDescent="0.2">
      <c r="B269" s="251"/>
      <c r="C269" s="251"/>
      <c r="D269" s="251"/>
      <c r="E269" s="251"/>
      <c r="F269" s="251"/>
      <c r="G269" s="251"/>
      <c r="H269" s="251"/>
      <c r="I269" s="251"/>
      <c r="J269" s="251"/>
      <c r="K269" s="251"/>
      <c r="L269" s="251"/>
      <c r="M269" s="251"/>
      <c r="N269" s="251"/>
      <c r="O269" s="251"/>
      <c r="P269" s="251"/>
      <c r="Q269" s="251"/>
      <c r="R269" s="251"/>
      <c r="S269" s="251"/>
      <c r="T269" s="251"/>
      <c r="U269" s="251"/>
      <c r="V269" s="251"/>
      <c r="W269" s="251"/>
      <c r="X269" s="251"/>
      <c r="Y269" s="251"/>
      <c r="Z269" s="251"/>
      <c r="AA269" s="251"/>
      <c r="AB269" s="251"/>
      <c r="AC269" s="251"/>
      <c r="AD269" s="251"/>
      <c r="AE269" s="251"/>
    </row>
    <row r="270" spans="2:31" x14ac:dyDescent="0.2">
      <c r="B270" s="251"/>
      <c r="C270" s="251"/>
      <c r="D270" s="251"/>
      <c r="E270" s="251"/>
      <c r="F270" s="251"/>
      <c r="G270" s="251"/>
      <c r="H270" s="251"/>
      <c r="I270" s="251"/>
      <c r="J270" s="251"/>
      <c r="K270" s="251"/>
      <c r="L270" s="251"/>
      <c r="M270" s="251"/>
      <c r="N270" s="251"/>
      <c r="O270" s="251"/>
      <c r="P270" s="251"/>
      <c r="Q270" s="251"/>
      <c r="R270" s="251"/>
      <c r="S270" s="251"/>
      <c r="T270" s="251"/>
      <c r="U270" s="251"/>
      <c r="V270" s="251"/>
      <c r="W270" s="251"/>
      <c r="X270" s="251"/>
      <c r="Y270" s="251"/>
      <c r="Z270" s="251"/>
      <c r="AA270" s="251"/>
      <c r="AB270" s="251"/>
      <c r="AC270" s="251"/>
      <c r="AD270" s="251"/>
      <c r="AE270" s="251"/>
    </row>
    <row r="271" spans="2:31" x14ac:dyDescent="0.2">
      <c r="B271" s="251"/>
      <c r="C271" s="251"/>
      <c r="D271" s="251"/>
      <c r="E271" s="251"/>
      <c r="F271" s="251"/>
      <c r="G271" s="251"/>
      <c r="H271" s="251"/>
      <c r="I271" s="251"/>
      <c r="J271" s="251"/>
      <c r="K271" s="251"/>
      <c r="L271" s="251"/>
      <c r="M271" s="251"/>
      <c r="N271" s="251"/>
      <c r="O271" s="251"/>
      <c r="P271" s="251"/>
      <c r="Q271" s="251"/>
      <c r="R271" s="251"/>
      <c r="S271" s="251"/>
      <c r="T271" s="251"/>
      <c r="U271" s="251"/>
      <c r="V271" s="251"/>
      <c r="W271" s="251"/>
      <c r="X271" s="251"/>
      <c r="Y271" s="251"/>
      <c r="Z271" s="251"/>
      <c r="AA271" s="251"/>
      <c r="AB271" s="251"/>
      <c r="AC271" s="251"/>
      <c r="AD271" s="251"/>
      <c r="AE271" s="251"/>
    </row>
    <row r="272" spans="2:31" x14ac:dyDescent="0.2">
      <c r="B272" s="251"/>
      <c r="C272" s="251"/>
      <c r="D272" s="251"/>
      <c r="E272" s="251"/>
      <c r="F272" s="251"/>
      <c r="G272" s="251"/>
      <c r="H272" s="251"/>
      <c r="I272" s="251"/>
      <c r="J272" s="251"/>
      <c r="K272" s="251"/>
      <c r="L272" s="251"/>
      <c r="M272" s="251"/>
      <c r="N272" s="251"/>
      <c r="O272" s="251"/>
      <c r="P272" s="251"/>
      <c r="Q272" s="251"/>
      <c r="R272" s="251"/>
      <c r="S272" s="251"/>
      <c r="T272" s="251"/>
      <c r="U272" s="251"/>
      <c r="V272" s="251"/>
      <c r="W272" s="251"/>
      <c r="X272" s="251"/>
      <c r="Y272" s="251"/>
      <c r="Z272" s="251"/>
      <c r="AA272" s="251"/>
      <c r="AB272" s="251"/>
      <c r="AC272" s="251"/>
      <c r="AD272" s="251"/>
      <c r="AE272" s="251"/>
    </row>
    <row r="273" spans="2:31" x14ac:dyDescent="0.2">
      <c r="B273" s="251"/>
      <c r="C273" s="251"/>
      <c r="D273" s="251"/>
      <c r="E273" s="251"/>
      <c r="F273" s="251"/>
      <c r="G273" s="251"/>
      <c r="H273" s="251"/>
      <c r="I273" s="251"/>
      <c r="J273" s="251"/>
      <c r="K273" s="251"/>
      <c r="L273" s="251"/>
      <c r="M273" s="251"/>
      <c r="N273" s="251"/>
      <c r="O273" s="251"/>
      <c r="P273" s="251"/>
      <c r="Q273" s="251"/>
      <c r="R273" s="251"/>
      <c r="S273" s="251"/>
      <c r="T273" s="251"/>
      <c r="U273" s="251"/>
      <c r="V273" s="251"/>
      <c r="W273" s="251"/>
      <c r="X273" s="251"/>
      <c r="Y273" s="251"/>
      <c r="Z273" s="251"/>
      <c r="AA273" s="251"/>
      <c r="AB273" s="251"/>
      <c r="AC273" s="251"/>
      <c r="AD273" s="251"/>
      <c r="AE273" s="251"/>
    </row>
    <row r="274" spans="2:31" x14ac:dyDescent="0.2">
      <c r="B274" s="251"/>
      <c r="C274" s="251"/>
      <c r="D274" s="251"/>
      <c r="E274" s="251"/>
      <c r="F274" s="251"/>
      <c r="G274" s="251"/>
      <c r="H274" s="251"/>
      <c r="I274" s="251"/>
      <c r="J274" s="251"/>
      <c r="K274" s="251"/>
      <c r="L274" s="251"/>
      <c r="M274" s="251"/>
      <c r="N274" s="251"/>
      <c r="O274" s="251"/>
      <c r="P274" s="251"/>
      <c r="Q274" s="251"/>
      <c r="R274" s="251"/>
      <c r="S274" s="251"/>
      <c r="T274" s="251"/>
      <c r="U274" s="251"/>
      <c r="V274" s="251"/>
      <c r="W274" s="251"/>
      <c r="X274" s="251"/>
      <c r="Y274" s="251"/>
      <c r="Z274" s="251"/>
      <c r="AA274" s="251"/>
      <c r="AB274" s="251"/>
      <c r="AC274" s="251"/>
      <c r="AD274" s="251"/>
      <c r="AE274" s="251"/>
    </row>
    <row r="275" spans="2:31" x14ac:dyDescent="0.2">
      <c r="B275" s="251"/>
      <c r="C275" s="251"/>
      <c r="D275" s="251"/>
      <c r="E275" s="251"/>
      <c r="F275" s="251"/>
      <c r="G275" s="251"/>
      <c r="H275" s="251"/>
      <c r="I275" s="251"/>
      <c r="J275" s="251"/>
      <c r="K275" s="251"/>
      <c r="L275" s="251"/>
      <c r="M275" s="251"/>
      <c r="N275" s="251"/>
      <c r="O275" s="251"/>
      <c r="P275" s="251"/>
      <c r="Q275" s="251"/>
      <c r="R275" s="251"/>
      <c r="S275" s="251"/>
      <c r="T275" s="251"/>
      <c r="U275" s="251"/>
      <c r="V275" s="251"/>
      <c r="W275" s="251"/>
      <c r="X275" s="251"/>
      <c r="Y275" s="251"/>
      <c r="Z275" s="251"/>
      <c r="AA275" s="251"/>
      <c r="AB275" s="251"/>
      <c r="AC275" s="251"/>
      <c r="AD275" s="251"/>
      <c r="AE275" s="251"/>
    </row>
    <row r="276" spans="2:31" x14ac:dyDescent="0.2">
      <c r="B276" s="251"/>
      <c r="C276" s="251"/>
      <c r="D276" s="251"/>
      <c r="E276" s="251"/>
      <c r="F276" s="251"/>
      <c r="G276" s="251"/>
      <c r="H276" s="251"/>
      <c r="I276" s="251"/>
      <c r="J276" s="251"/>
      <c r="K276" s="251"/>
      <c r="L276" s="251"/>
      <c r="M276" s="251"/>
      <c r="N276" s="251"/>
      <c r="O276" s="251"/>
      <c r="P276" s="251"/>
      <c r="Q276" s="251"/>
      <c r="R276" s="251"/>
      <c r="S276" s="251"/>
      <c r="T276" s="251"/>
      <c r="U276" s="251"/>
      <c r="V276" s="251"/>
      <c r="W276" s="251"/>
      <c r="X276" s="251"/>
      <c r="Y276" s="251"/>
      <c r="Z276" s="251"/>
      <c r="AA276" s="251"/>
      <c r="AB276" s="251"/>
      <c r="AC276" s="251"/>
      <c r="AD276" s="251"/>
      <c r="AE276" s="251"/>
    </row>
    <row r="277" spans="2:31" x14ac:dyDescent="0.2">
      <c r="B277" s="251"/>
      <c r="C277" s="251"/>
      <c r="D277" s="251"/>
      <c r="E277" s="251"/>
      <c r="F277" s="251"/>
      <c r="G277" s="251"/>
      <c r="H277" s="251"/>
      <c r="I277" s="251"/>
      <c r="J277" s="251"/>
      <c r="K277" s="251"/>
      <c r="L277" s="251"/>
      <c r="M277" s="251"/>
      <c r="N277" s="251"/>
      <c r="O277" s="251"/>
      <c r="P277" s="251"/>
      <c r="Q277" s="251"/>
      <c r="R277" s="251"/>
      <c r="S277" s="251"/>
      <c r="T277" s="251"/>
      <c r="U277" s="251"/>
      <c r="V277" s="251"/>
      <c r="W277" s="251"/>
      <c r="X277" s="251"/>
      <c r="Y277" s="251"/>
      <c r="Z277" s="251"/>
      <c r="AA277" s="251"/>
      <c r="AB277" s="251"/>
      <c r="AC277" s="251"/>
      <c r="AD277" s="251"/>
      <c r="AE277" s="251"/>
    </row>
    <row r="278" spans="2:31" x14ac:dyDescent="0.2">
      <c r="B278" s="251"/>
      <c r="C278" s="251"/>
      <c r="D278" s="251"/>
      <c r="E278" s="251"/>
      <c r="F278" s="251"/>
      <c r="G278" s="251"/>
      <c r="H278" s="251"/>
      <c r="I278" s="251"/>
      <c r="J278" s="251"/>
      <c r="K278" s="251"/>
      <c r="L278" s="251"/>
      <c r="M278" s="251"/>
      <c r="N278" s="251"/>
      <c r="O278" s="251"/>
      <c r="P278" s="251"/>
      <c r="Q278" s="251"/>
      <c r="R278" s="251"/>
      <c r="S278" s="251"/>
      <c r="T278" s="251"/>
      <c r="U278" s="251"/>
      <c r="V278" s="251"/>
      <c r="W278" s="251"/>
      <c r="X278" s="251"/>
      <c r="Y278" s="251"/>
      <c r="Z278" s="251"/>
      <c r="AA278" s="251"/>
      <c r="AB278" s="251"/>
      <c r="AC278" s="251"/>
      <c r="AD278" s="251"/>
      <c r="AE278" s="251"/>
    </row>
    <row r="279" spans="2:31" x14ac:dyDescent="0.2">
      <c r="B279" s="251"/>
      <c r="C279" s="251"/>
      <c r="D279" s="251"/>
      <c r="E279" s="251"/>
      <c r="F279" s="251"/>
      <c r="G279" s="251"/>
      <c r="H279" s="251"/>
      <c r="I279" s="251"/>
      <c r="J279" s="251"/>
      <c r="K279" s="251"/>
      <c r="L279" s="251"/>
      <c r="M279" s="251"/>
      <c r="N279" s="251"/>
      <c r="O279" s="251"/>
      <c r="P279" s="251"/>
      <c r="Q279" s="251"/>
      <c r="R279" s="251"/>
      <c r="S279" s="251"/>
      <c r="T279" s="251"/>
      <c r="U279" s="251"/>
      <c r="V279" s="251"/>
      <c r="W279" s="251"/>
      <c r="X279" s="251"/>
      <c r="Y279" s="251"/>
      <c r="Z279" s="251"/>
      <c r="AA279" s="251"/>
      <c r="AB279" s="251"/>
      <c r="AC279" s="251"/>
      <c r="AD279" s="251"/>
      <c r="AE279" s="251"/>
    </row>
    <row r="280" spans="2:31" x14ac:dyDescent="0.2">
      <c r="B280" s="251"/>
      <c r="C280" s="251"/>
      <c r="D280" s="251"/>
      <c r="E280" s="251"/>
      <c r="F280" s="251"/>
      <c r="G280" s="251"/>
      <c r="H280" s="251"/>
      <c r="I280" s="251"/>
      <c r="J280" s="251"/>
      <c r="K280" s="251"/>
      <c r="L280" s="251"/>
      <c r="M280" s="251"/>
      <c r="N280" s="251"/>
      <c r="O280" s="251"/>
      <c r="P280" s="251"/>
      <c r="Q280" s="251"/>
      <c r="R280" s="251"/>
      <c r="S280" s="251"/>
      <c r="T280" s="251"/>
      <c r="U280" s="251"/>
      <c r="V280" s="251"/>
      <c r="W280" s="251"/>
      <c r="X280" s="251"/>
      <c r="Y280" s="251"/>
      <c r="Z280" s="251"/>
      <c r="AA280" s="251"/>
      <c r="AB280" s="251"/>
      <c r="AC280" s="251"/>
      <c r="AD280" s="251"/>
      <c r="AE280" s="251"/>
    </row>
    <row r="281" spans="2:31" x14ac:dyDescent="0.2">
      <c r="B281" s="251"/>
      <c r="C281" s="251"/>
      <c r="D281" s="251"/>
      <c r="E281" s="251"/>
      <c r="F281" s="251"/>
      <c r="G281" s="251"/>
      <c r="H281" s="251"/>
      <c r="I281" s="251"/>
      <c r="J281" s="251"/>
      <c r="K281" s="251"/>
      <c r="L281" s="251"/>
      <c r="M281" s="251"/>
      <c r="N281" s="251"/>
      <c r="O281" s="251"/>
      <c r="P281" s="251"/>
      <c r="Q281" s="251"/>
      <c r="R281" s="251"/>
      <c r="S281" s="251"/>
      <c r="T281" s="251"/>
      <c r="U281" s="251"/>
      <c r="V281" s="251"/>
      <c r="W281" s="251"/>
      <c r="X281" s="251"/>
      <c r="Y281" s="251"/>
      <c r="Z281" s="251"/>
      <c r="AA281" s="251"/>
      <c r="AB281" s="251"/>
      <c r="AC281" s="251"/>
      <c r="AD281" s="251"/>
      <c r="AE281" s="251"/>
    </row>
    <row r="282" spans="2:31" x14ac:dyDescent="0.2">
      <c r="B282" s="251"/>
      <c r="C282" s="251"/>
      <c r="D282" s="251"/>
      <c r="E282" s="251"/>
      <c r="F282" s="251"/>
      <c r="G282" s="251"/>
      <c r="H282" s="251"/>
      <c r="I282" s="251"/>
      <c r="J282" s="251"/>
      <c r="K282" s="251"/>
      <c r="L282" s="251"/>
      <c r="M282" s="251"/>
      <c r="N282" s="251"/>
      <c r="O282" s="251"/>
      <c r="P282" s="251"/>
      <c r="Q282" s="251"/>
      <c r="R282" s="251"/>
      <c r="S282" s="251"/>
      <c r="T282" s="251"/>
      <c r="U282" s="251"/>
      <c r="V282" s="251"/>
      <c r="W282" s="251"/>
      <c r="X282" s="251"/>
      <c r="Y282" s="251"/>
      <c r="Z282" s="251"/>
      <c r="AA282" s="251"/>
      <c r="AB282" s="251"/>
      <c r="AC282" s="251"/>
      <c r="AD282" s="251"/>
      <c r="AE282" s="251"/>
    </row>
    <row r="283" spans="2:31" x14ac:dyDescent="0.2">
      <c r="B283" s="251"/>
      <c r="C283" s="251"/>
      <c r="D283" s="251"/>
      <c r="E283" s="251"/>
      <c r="F283" s="251"/>
      <c r="G283" s="251"/>
      <c r="H283" s="251"/>
      <c r="I283" s="251"/>
      <c r="J283" s="251"/>
      <c r="K283" s="251"/>
      <c r="L283" s="251"/>
      <c r="M283" s="251"/>
      <c r="N283" s="251"/>
      <c r="O283" s="251"/>
      <c r="P283" s="251"/>
      <c r="Q283" s="251"/>
      <c r="R283" s="251"/>
      <c r="S283" s="251"/>
      <c r="T283" s="251"/>
      <c r="U283" s="251"/>
      <c r="V283" s="251"/>
      <c r="W283" s="251"/>
      <c r="X283" s="251"/>
      <c r="Y283" s="251"/>
      <c r="Z283" s="251"/>
      <c r="AA283" s="251"/>
      <c r="AB283" s="251"/>
      <c r="AC283" s="251"/>
      <c r="AD283" s="251"/>
      <c r="AE283" s="251"/>
    </row>
    <row r="284" spans="2:31" x14ac:dyDescent="0.2">
      <c r="B284" s="251"/>
      <c r="C284" s="251"/>
      <c r="D284" s="251"/>
      <c r="E284" s="251"/>
      <c r="F284" s="251"/>
      <c r="G284" s="251"/>
      <c r="H284" s="251"/>
      <c r="I284" s="251"/>
      <c r="J284" s="251"/>
      <c r="K284" s="251"/>
      <c r="L284" s="251"/>
      <c r="M284" s="251"/>
      <c r="N284" s="251"/>
      <c r="O284" s="251"/>
      <c r="P284" s="251"/>
      <c r="Q284" s="251"/>
      <c r="R284" s="251"/>
      <c r="S284" s="251"/>
      <c r="T284" s="251"/>
      <c r="U284" s="251"/>
      <c r="V284" s="251"/>
      <c r="W284" s="251"/>
      <c r="X284" s="251"/>
      <c r="Y284" s="251"/>
      <c r="Z284" s="251"/>
      <c r="AA284" s="251"/>
      <c r="AB284" s="251"/>
      <c r="AC284" s="251"/>
      <c r="AD284" s="251"/>
      <c r="AE284" s="251"/>
    </row>
    <row r="285" spans="2:31" x14ac:dyDescent="0.2">
      <c r="B285" s="251"/>
      <c r="C285" s="251"/>
      <c r="D285" s="251"/>
      <c r="E285" s="251"/>
      <c r="F285" s="251"/>
      <c r="G285" s="251"/>
      <c r="H285" s="251"/>
      <c r="I285" s="251"/>
      <c r="J285" s="251"/>
      <c r="K285" s="251"/>
      <c r="L285" s="251"/>
      <c r="M285" s="251"/>
      <c r="N285" s="251"/>
      <c r="O285" s="251"/>
      <c r="P285" s="251"/>
      <c r="Q285" s="251"/>
      <c r="R285" s="251"/>
      <c r="S285" s="251"/>
      <c r="T285" s="251"/>
      <c r="U285" s="251"/>
      <c r="V285" s="251"/>
      <c r="W285" s="251"/>
      <c r="X285" s="251"/>
      <c r="Y285" s="251"/>
      <c r="Z285" s="251"/>
      <c r="AA285" s="251"/>
      <c r="AB285" s="251"/>
      <c r="AC285" s="251"/>
      <c r="AD285" s="251"/>
      <c r="AE285" s="251"/>
    </row>
    <row r="286" spans="2:31" x14ac:dyDescent="0.2">
      <c r="B286" s="251"/>
      <c r="C286" s="251"/>
      <c r="D286" s="251"/>
      <c r="E286" s="251"/>
      <c r="F286" s="251"/>
      <c r="G286" s="251"/>
      <c r="H286" s="251"/>
      <c r="I286" s="251"/>
      <c r="J286" s="251"/>
      <c r="K286" s="251"/>
      <c r="L286" s="251"/>
      <c r="M286" s="251"/>
      <c r="N286" s="251"/>
      <c r="O286" s="251"/>
      <c r="P286" s="251"/>
      <c r="Q286" s="251"/>
      <c r="R286" s="251"/>
      <c r="S286" s="251"/>
      <c r="T286" s="251"/>
      <c r="U286" s="251"/>
      <c r="V286" s="251"/>
      <c r="W286" s="251"/>
      <c r="X286" s="251"/>
      <c r="Y286" s="251"/>
      <c r="Z286" s="251"/>
      <c r="AA286" s="251"/>
      <c r="AB286" s="251"/>
      <c r="AC286" s="251"/>
      <c r="AD286" s="251"/>
      <c r="AE286" s="251"/>
    </row>
  </sheetData>
  <sheetProtection selectLockedCells="1"/>
  <mergeCells count="15">
    <mergeCell ref="C33:G34"/>
    <mergeCell ref="K26:P27"/>
    <mergeCell ref="C39:J40"/>
    <mergeCell ref="C28:H31"/>
    <mergeCell ref="K29:P31"/>
    <mergeCell ref="C24:H26"/>
    <mergeCell ref="K23:P24"/>
    <mergeCell ref="G2:L9"/>
    <mergeCell ref="K18:M19"/>
    <mergeCell ref="C11:D11"/>
    <mergeCell ref="C14:H16"/>
    <mergeCell ref="C20:H22"/>
    <mergeCell ref="K11:N13"/>
    <mergeCell ref="K21:P21"/>
    <mergeCell ref="L15:M1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RMAData!$A$3:$A$117</xm:f>
          </x14:formula1>
          <xm:sqref>D6:E6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B206"/>
  <sheetViews>
    <sheetView showGridLines="0" zoomScale="115" zoomScaleNormal="115" workbookViewId="0">
      <selection activeCell="D5" sqref="D5:F5"/>
    </sheetView>
  </sheetViews>
  <sheetFormatPr defaultColWidth="9.140625" defaultRowHeight="12.75" x14ac:dyDescent="0.2"/>
  <cols>
    <col min="1" max="1" width="2.28515625" style="156" customWidth="1"/>
    <col min="2" max="2" width="1.7109375" customWidth="1"/>
    <col min="3" max="3" width="29.7109375" customWidth="1"/>
    <col min="4" max="4" width="14" customWidth="1"/>
    <col min="5" max="5" width="0.85546875" customWidth="1"/>
    <col min="6" max="6" width="16.7109375" customWidth="1"/>
    <col min="7" max="7" width="0.85546875" customWidth="1"/>
    <col min="8" max="8" width="17.42578125" customWidth="1"/>
    <col min="9" max="9" width="1.7109375" customWidth="1"/>
    <col min="10" max="10" width="14.28515625" customWidth="1"/>
    <col min="11" max="11" width="0.85546875" customWidth="1"/>
    <col min="12" max="12" width="13.5703125" customWidth="1"/>
    <col min="13" max="13" width="0.85546875" customWidth="1"/>
    <col min="14" max="14" width="15.140625" customWidth="1"/>
    <col min="15" max="15" width="1.7109375" customWidth="1"/>
    <col min="17" max="17" width="28.7109375" customWidth="1"/>
    <col min="18" max="18" width="13.140625" customWidth="1"/>
    <col min="19" max="19" width="11.42578125" customWidth="1"/>
    <col min="20" max="20" width="86.140625" customWidth="1"/>
    <col min="40" max="40" width="34.42578125" bestFit="1" customWidth="1"/>
    <col min="41" max="41" width="10.5703125" bestFit="1" customWidth="1"/>
    <col min="42" max="42" width="13.42578125" bestFit="1" customWidth="1"/>
    <col min="50" max="50" width="9.85546875" bestFit="1" customWidth="1"/>
  </cols>
  <sheetData>
    <row r="1" spans="1:22" s="147" customFormat="1" ht="18.75" thickBot="1" x14ac:dyDescent="0.3">
      <c r="A1" s="146"/>
      <c r="C1" s="148" t="s">
        <v>178</v>
      </c>
      <c r="J1" s="148"/>
    </row>
    <row r="2" spans="1:22" s="150" customFormat="1" ht="7.5" customHeight="1" thickTop="1" x14ac:dyDescent="0.25">
      <c r="A2" s="149"/>
    </row>
    <row r="3" spans="1:22" s="36" customFormat="1" ht="15" x14ac:dyDescent="0.25">
      <c r="A3" s="149"/>
      <c r="C3" s="151" t="s">
        <v>177</v>
      </c>
      <c r="D3" s="152"/>
      <c r="E3" s="153"/>
      <c r="H3" s="121" t="s">
        <v>174</v>
      </c>
      <c r="I3" s="121"/>
      <c r="J3" s="121"/>
      <c r="K3" s="121"/>
      <c r="L3" s="121"/>
      <c r="P3" s="1"/>
    </row>
    <row r="4" spans="1:22" s="36" customFormat="1" ht="9.75" customHeight="1" x14ac:dyDescent="0.2">
      <c r="A4" s="149"/>
      <c r="I4"/>
      <c r="J4"/>
      <c r="K4"/>
      <c r="L4" s="1"/>
      <c r="M4" s="1"/>
      <c r="N4"/>
      <c r="O4"/>
      <c r="P4"/>
      <c r="Q4" s="155"/>
      <c r="R4" s="155"/>
      <c r="S4" s="155"/>
      <c r="T4" s="155"/>
      <c r="U4" s="155"/>
      <c r="V4"/>
    </row>
    <row r="5" spans="1:22" s="36" customFormat="1" ht="18.75" customHeight="1" x14ac:dyDescent="0.25">
      <c r="A5" s="149"/>
      <c r="C5" s="114" t="s">
        <v>164</v>
      </c>
      <c r="D5" s="415" t="s">
        <v>31</v>
      </c>
      <c r="E5" s="416"/>
      <c r="F5" s="416"/>
      <c r="G5" s="4"/>
      <c r="H5" s="269" t="s">
        <v>203</v>
      </c>
      <c r="J5" s="23"/>
      <c r="K5" s="23"/>
      <c r="L5" s="154"/>
      <c r="M5" s="154"/>
      <c r="N5" s="154"/>
      <c r="O5"/>
      <c r="P5"/>
      <c r="Q5" s="155"/>
      <c r="R5" s="155"/>
      <c r="S5" s="155"/>
      <c r="T5" s="155"/>
      <c r="U5" s="155"/>
      <c r="V5"/>
    </row>
    <row r="6" spans="1:22" ht="6" customHeight="1" x14ac:dyDescent="0.2">
      <c r="R6" s="155"/>
      <c r="S6" s="155"/>
      <c r="T6" s="155"/>
      <c r="U6" s="155"/>
    </row>
    <row r="7" spans="1:22" ht="6" customHeight="1" thickBot="1" x14ac:dyDescent="0.25">
      <c r="H7" s="13"/>
      <c r="J7" s="36"/>
      <c r="K7" s="36"/>
      <c r="Q7" s="155"/>
      <c r="R7" s="155"/>
      <c r="S7" s="155"/>
      <c r="T7" s="155"/>
      <c r="U7" s="155"/>
    </row>
    <row r="8" spans="1:22" ht="18" thickBot="1" x14ac:dyDescent="0.35">
      <c r="C8" s="157" t="s">
        <v>161</v>
      </c>
      <c r="D8" s="158"/>
      <c r="E8" s="159"/>
      <c r="F8" s="80" t="s">
        <v>0</v>
      </c>
      <c r="G8" s="80"/>
      <c r="H8" s="81" t="s">
        <v>1</v>
      </c>
      <c r="J8" s="417" t="s">
        <v>231</v>
      </c>
      <c r="K8" s="418"/>
      <c r="L8" s="418"/>
      <c r="M8" s="418"/>
      <c r="N8" s="419"/>
      <c r="O8" s="72"/>
      <c r="P8" s="16"/>
      <c r="Q8" s="18"/>
      <c r="R8" s="16"/>
      <c r="S8" s="16"/>
      <c r="T8" s="16"/>
      <c r="U8" s="16"/>
      <c r="V8" s="16"/>
    </row>
    <row r="9" spans="1:22" ht="15.75" thickTop="1" x14ac:dyDescent="0.25">
      <c r="C9" s="25" t="s">
        <v>165</v>
      </c>
      <c r="D9" s="51"/>
      <c r="E9" s="84"/>
      <c r="F9" s="73">
        <v>5.75</v>
      </c>
      <c r="G9" s="160"/>
      <c r="H9" s="74">
        <v>13</v>
      </c>
      <c r="J9" s="420" t="s">
        <v>168</v>
      </c>
      <c r="K9" s="308"/>
      <c r="L9" s="422" t="s">
        <v>18</v>
      </c>
      <c r="M9" s="308"/>
      <c r="N9" s="424" t="s">
        <v>21</v>
      </c>
      <c r="O9" s="33"/>
      <c r="P9" s="4"/>
      <c r="Q9" s="155"/>
      <c r="R9" s="4"/>
      <c r="S9" s="4"/>
      <c r="T9" s="4"/>
      <c r="U9" s="4"/>
      <c r="V9" s="4"/>
    </row>
    <row r="10" spans="1:22" ht="12.75" customHeight="1" x14ac:dyDescent="0.25">
      <c r="C10" s="25" t="s">
        <v>166</v>
      </c>
      <c r="D10" s="26"/>
      <c r="E10" s="84"/>
      <c r="F10" s="73">
        <v>5.5</v>
      </c>
      <c r="G10" s="160"/>
      <c r="H10" s="74">
        <v>13.75</v>
      </c>
      <c r="J10" s="421"/>
      <c r="K10" s="116"/>
      <c r="L10" s="423"/>
      <c r="M10" s="46"/>
      <c r="N10" s="425"/>
      <c r="O10" s="5"/>
      <c r="P10" s="4"/>
      <c r="Q10" s="155"/>
      <c r="R10" s="4"/>
      <c r="S10" s="4"/>
      <c r="T10" s="4"/>
      <c r="U10" s="4"/>
      <c r="V10" s="4"/>
    </row>
    <row r="11" spans="1:22" ht="15" x14ac:dyDescent="0.25">
      <c r="C11" s="24" t="s">
        <v>167</v>
      </c>
      <c r="E11" s="161"/>
      <c r="F11" s="132">
        <f>IndemPc</f>
        <v>5.91</v>
      </c>
      <c r="G11" s="132"/>
      <c r="H11" s="133">
        <f>IndemPs</f>
        <v>13.76</v>
      </c>
      <c r="J11" s="310">
        <f>IF(InsSelc="Yield Protection",F11*F22,F11)</f>
        <v>5.91</v>
      </c>
      <c r="K11" s="116"/>
      <c r="L11" s="311">
        <f>IF(InsSelc="Yield Protection",F11*F22,F11)</f>
        <v>5.91</v>
      </c>
      <c r="M11" s="309"/>
      <c r="N11" s="312">
        <f>IF(InsSels="Yield Protection",H11*H22,H11)</f>
        <v>13.76</v>
      </c>
      <c r="O11" s="6"/>
      <c r="P11" s="4"/>
      <c r="Q11" s="1"/>
      <c r="R11" s="4"/>
      <c r="S11" s="4"/>
      <c r="T11" s="4"/>
      <c r="U11" s="4"/>
      <c r="V11" s="4"/>
    </row>
    <row r="12" spans="1:22" ht="23.25" customHeight="1" thickBot="1" x14ac:dyDescent="0.35">
      <c r="C12" s="162" t="s">
        <v>160</v>
      </c>
      <c r="E12" s="161"/>
      <c r="F12" s="163"/>
      <c r="G12" s="163"/>
      <c r="H12" s="164"/>
      <c r="J12" s="265"/>
      <c r="K12" s="116"/>
      <c r="L12" s="282"/>
      <c r="M12" s="116"/>
      <c r="N12" s="283"/>
      <c r="O12" s="33"/>
      <c r="P12" s="2"/>
      <c r="R12" s="1"/>
      <c r="S12" s="1"/>
      <c r="T12" s="2"/>
      <c r="U12" s="2"/>
      <c r="V12" s="2"/>
    </row>
    <row r="13" spans="1:22" ht="15.75" thickTop="1" x14ac:dyDescent="0.25">
      <c r="C13" s="25" t="s">
        <v>155</v>
      </c>
      <c r="D13" s="26"/>
      <c r="E13" s="84"/>
      <c r="F13" s="75">
        <v>185</v>
      </c>
      <c r="G13" s="163"/>
      <c r="H13" s="76">
        <v>50</v>
      </c>
      <c r="J13" s="265"/>
      <c r="K13" s="116"/>
      <c r="L13" s="282"/>
      <c r="M13" s="116"/>
      <c r="N13" s="283"/>
      <c r="O13" s="33"/>
      <c r="P13" s="2"/>
      <c r="R13" s="1"/>
      <c r="S13" s="1"/>
      <c r="T13" s="2"/>
      <c r="U13" s="2"/>
      <c r="V13" s="2"/>
    </row>
    <row r="14" spans="1:22" ht="15" customHeight="1" x14ac:dyDescent="0.25">
      <c r="C14" s="24" t="s">
        <v>170</v>
      </c>
      <c r="D14" s="26"/>
      <c r="E14" s="84"/>
      <c r="F14" s="125">
        <v>45020</v>
      </c>
      <c r="G14" s="163"/>
      <c r="H14" s="164"/>
      <c r="J14" s="265"/>
      <c r="K14" s="116"/>
      <c r="L14" s="284"/>
      <c r="M14" s="1"/>
      <c r="N14" s="285"/>
      <c r="O14" s="33"/>
      <c r="P14" s="2"/>
      <c r="R14" s="1"/>
      <c r="S14" s="1"/>
      <c r="T14" s="2"/>
      <c r="U14" s="2"/>
      <c r="V14" s="2"/>
    </row>
    <row r="15" spans="1:22" ht="15" customHeight="1" x14ac:dyDescent="0.25">
      <c r="C15" s="24" t="s">
        <v>156</v>
      </c>
      <c r="D15" s="26"/>
      <c r="E15" s="84"/>
      <c r="F15" s="75">
        <v>50</v>
      </c>
      <c r="G15" s="163"/>
      <c r="H15" s="164"/>
      <c r="J15" s="313">
        <f>F15</f>
        <v>50</v>
      </c>
      <c r="K15" s="116"/>
      <c r="L15" s="314"/>
      <c r="M15" s="315"/>
      <c r="N15" s="316"/>
      <c r="O15" s="33"/>
      <c r="P15" s="2"/>
      <c r="R15" s="1"/>
      <c r="S15" s="1"/>
      <c r="T15" s="2"/>
      <c r="U15" s="2"/>
      <c r="V15" s="2"/>
    </row>
    <row r="16" spans="1:22" ht="15" x14ac:dyDescent="0.25">
      <c r="C16" s="25" t="s">
        <v>158</v>
      </c>
      <c r="D16" s="26"/>
      <c r="E16" s="84"/>
      <c r="F16" s="125">
        <v>45089</v>
      </c>
      <c r="G16" s="167"/>
      <c r="H16" s="126">
        <v>45089</v>
      </c>
      <c r="J16" s="313"/>
      <c r="K16" s="315"/>
      <c r="L16" s="320">
        <f>F16</f>
        <v>45089</v>
      </c>
      <c r="M16" s="286"/>
      <c r="N16" s="321">
        <f>H16</f>
        <v>45089</v>
      </c>
      <c r="O16" s="168"/>
      <c r="R16" s="155"/>
      <c r="S16" s="155"/>
      <c r="T16" s="155"/>
      <c r="U16" s="155"/>
    </row>
    <row r="17" spans="1:27" ht="15" x14ac:dyDescent="0.25">
      <c r="C17" s="25" t="s">
        <v>228</v>
      </c>
      <c r="D17" s="26"/>
      <c r="E17" s="84"/>
      <c r="F17" s="302"/>
      <c r="G17" s="302"/>
      <c r="H17" s="303"/>
      <c r="J17" s="313"/>
      <c r="K17" s="315"/>
      <c r="L17" s="317">
        <f ca="1">MIN(F13,IF(Region="Central and North MO",AO118*F13,AQ118*F13))</f>
        <v>126.78722726851701</v>
      </c>
      <c r="M17" s="318"/>
      <c r="N17" s="319">
        <f ca="1">MIN(H13,IF(Region="Central and North MO",AP118*H13,AR118*H13))</f>
        <v>42.233333330601454</v>
      </c>
      <c r="Q17" s="272"/>
      <c r="R17" s="155"/>
      <c r="S17" s="155"/>
      <c r="T17" s="155"/>
      <c r="U17" s="155"/>
    </row>
    <row r="18" spans="1:27" ht="23.25" customHeight="1" thickBot="1" x14ac:dyDescent="0.35">
      <c r="C18" s="131" t="s">
        <v>12</v>
      </c>
      <c r="D18" s="32"/>
      <c r="E18" s="85"/>
      <c r="F18" s="82"/>
      <c r="G18" s="82"/>
      <c r="H18" s="83"/>
      <c r="J18" s="41"/>
      <c r="K18" s="42"/>
      <c r="L18" s="287"/>
      <c r="M18" s="288"/>
      <c r="N18" s="289"/>
      <c r="Q18" s="272"/>
      <c r="R18" s="155"/>
      <c r="S18" s="155"/>
      <c r="T18" s="155"/>
      <c r="U18" s="155"/>
    </row>
    <row r="19" spans="1:27" ht="29.25" customHeight="1" thickTop="1" x14ac:dyDescent="0.25">
      <c r="C19" s="25" t="s">
        <v>152</v>
      </c>
      <c r="D19" s="51"/>
      <c r="E19" s="413" t="s">
        <v>150</v>
      </c>
      <c r="F19" s="413"/>
      <c r="G19" s="161"/>
      <c r="H19" s="429" t="s">
        <v>150</v>
      </c>
      <c r="J19" s="414" t="str">
        <f>InsSelc</f>
        <v>Revenue Protection</v>
      </c>
      <c r="K19" s="114"/>
      <c r="L19" s="405" t="str">
        <f>InsSelc</f>
        <v>Revenue Protection</v>
      </c>
      <c r="M19" s="305"/>
      <c r="N19" s="406" t="str">
        <f>InsSels</f>
        <v>Revenue Protection</v>
      </c>
      <c r="O19" s="170"/>
      <c r="Q19" s="16" t="s">
        <v>247</v>
      </c>
      <c r="R19" s="325" t="s">
        <v>0</v>
      </c>
      <c r="S19" s="325" t="s">
        <v>192</v>
      </c>
      <c r="T19" s="16" t="s">
        <v>248</v>
      </c>
      <c r="U19" s="16"/>
    </row>
    <row r="20" spans="1:27" ht="15" customHeight="1" x14ac:dyDescent="0.25">
      <c r="C20" s="25" t="s">
        <v>214</v>
      </c>
      <c r="D20" s="51"/>
      <c r="E20" s="268"/>
      <c r="F20" s="278">
        <v>0.55000000000000004</v>
      </c>
      <c r="G20" s="161"/>
      <c r="H20" s="277">
        <v>0.6</v>
      </c>
      <c r="J20" s="414"/>
      <c r="K20" s="114"/>
      <c r="L20" s="405"/>
      <c r="M20" s="305"/>
      <c r="N20" s="406"/>
      <c r="O20" s="170"/>
      <c r="Q20" s="16" t="s">
        <v>204</v>
      </c>
      <c r="R20" s="326">
        <f>VLOOKUP(County,RMAData!$A$3:$F$117,5)</f>
        <v>45021</v>
      </c>
      <c r="S20" s="326">
        <f>VLOOKUP(County,RMADates[],6)</f>
        <v>45036</v>
      </c>
      <c r="T20" s="16" t="s">
        <v>208</v>
      </c>
      <c r="U20" s="16"/>
    </row>
    <row r="21" spans="1:27" ht="15" x14ac:dyDescent="0.25">
      <c r="C21" s="129" t="s">
        <v>11</v>
      </c>
      <c r="D21" s="51"/>
      <c r="E21" s="77"/>
      <c r="F21" s="73">
        <v>25</v>
      </c>
      <c r="G21" s="160"/>
      <c r="H21" s="74">
        <v>20</v>
      </c>
      <c r="J21" s="414"/>
      <c r="K21" s="114"/>
      <c r="L21" s="405"/>
      <c r="M21" s="305"/>
      <c r="N21" s="406"/>
      <c r="O21" s="170"/>
      <c r="Q21" s="16" t="s">
        <v>210</v>
      </c>
      <c r="R21" s="326">
        <f>VLOOKUP(County,RMADates[],3)</f>
        <v>45077</v>
      </c>
      <c r="S21" s="326">
        <f>VLOOKUP(County,RMADates[],4)</f>
        <v>45097</v>
      </c>
      <c r="T21" s="16" t="s">
        <v>221</v>
      </c>
      <c r="U21" s="16"/>
    </row>
    <row r="22" spans="1:27" ht="15" x14ac:dyDescent="0.25">
      <c r="C22" s="25" t="s">
        <v>169</v>
      </c>
      <c r="D22" s="51"/>
      <c r="E22" s="77"/>
      <c r="F22" s="297">
        <v>1</v>
      </c>
      <c r="G22" s="86"/>
      <c r="H22" s="298">
        <v>1</v>
      </c>
      <c r="J22" s="142"/>
      <c r="K22" s="299"/>
      <c r="L22" s="300"/>
      <c r="M22" s="299"/>
      <c r="N22" s="301"/>
      <c r="O22" s="171"/>
      <c r="Q22" s="16" t="s">
        <v>205</v>
      </c>
      <c r="R22" s="326">
        <f>VLOOKUP(County,RMADates[],3)+1</f>
        <v>45078</v>
      </c>
      <c r="S22" s="326">
        <f>VLOOKUP(County,RMADates[],4)+1</f>
        <v>45098</v>
      </c>
      <c r="T22" s="16" t="s">
        <v>222</v>
      </c>
      <c r="U22" s="16"/>
    </row>
    <row r="23" spans="1:27" ht="15" x14ac:dyDescent="0.25">
      <c r="C23" s="25" t="s">
        <v>157</v>
      </c>
      <c r="D23" s="51"/>
      <c r="E23" s="77"/>
      <c r="F23" s="75">
        <v>180</v>
      </c>
      <c r="G23" s="163"/>
      <c r="H23" s="76">
        <v>55</v>
      </c>
      <c r="J23" s="41"/>
      <c r="K23" s="42"/>
      <c r="L23" s="287"/>
      <c r="M23" s="288"/>
      <c r="N23" s="289"/>
      <c r="Q23" s="16" t="s">
        <v>206</v>
      </c>
      <c r="R23" s="326">
        <f>VLOOKUP($D$5,RMADates[],3)+PlPerc</f>
        <v>45097</v>
      </c>
      <c r="S23" s="326">
        <f>VLOOKUP(County,RMADates[],4)+PlPers</f>
        <v>45122</v>
      </c>
      <c r="T23" s="16" t="s">
        <v>223</v>
      </c>
      <c r="U23" s="16"/>
    </row>
    <row r="24" spans="1:27" ht="15" x14ac:dyDescent="0.25">
      <c r="C24" s="25" t="s">
        <v>8</v>
      </c>
      <c r="D24" s="51"/>
      <c r="E24" s="77"/>
      <c r="F24" s="78">
        <v>0.8</v>
      </c>
      <c r="G24" s="86"/>
      <c r="H24" s="79">
        <v>0.8</v>
      </c>
      <c r="J24" s="279"/>
      <c r="K24" s="290"/>
      <c r="L24" s="291"/>
      <c r="M24" s="290"/>
      <c r="N24" s="292"/>
      <c r="O24" s="171"/>
      <c r="Q24" s="16" t="s">
        <v>207</v>
      </c>
      <c r="R24" s="326">
        <f>VLOOKUP(County,RMADates[],3)+J106</f>
        <v>45087</v>
      </c>
      <c r="S24" s="326">
        <f>VLOOKUP(County,RMADates[],4)+J106</f>
        <v>45107</v>
      </c>
      <c r="T24" s="16" t="s">
        <v>224</v>
      </c>
      <c r="U24" s="16"/>
    </row>
    <row r="25" spans="1:27" ht="15" x14ac:dyDescent="0.25">
      <c r="C25" s="25" t="s">
        <v>227</v>
      </c>
      <c r="D25" s="51"/>
      <c r="E25" s="306"/>
      <c r="G25" s="86"/>
      <c r="H25" s="174"/>
      <c r="J25" s="307">
        <f>IF(F14&lt;FinPlc,InsCovc,IF(F14&gt;(EndPlc),F20,InsCovc-(F14-FinPlc)/100))</f>
        <v>0.8</v>
      </c>
      <c r="K25" s="290"/>
      <c r="L25" s="291">
        <f>J25</f>
        <v>0.8</v>
      </c>
      <c r="M25" s="290"/>
      <c r="N25" s="87">
        <f>IF(H16&lt;FinPLs,InsCovs,IF(H16&gt;(EndPls),H20,InsCovs-(H16-FinPLs)/100))</f>
        <v>0.8</v>
      </c>
      <c r="O25" s="171"/>
    </row>
    <row r="26" spans="1:27" ht="8.25" customHeight="1" x14ac:dyDescent="0.2">
      <c r="C26" s="172"/>
      <c r="H26" s="174"/>
      <c r="J26" s="41"/>
      <c r="K26" s="42"/>
      <c r="L26" s="293"/>
      <c r="M26" s="42"/>
      <c r="N26" s="294"/>
    </row>
    <row r="27" spans="1:27" s="4" customFormat="1" ht="12.75" customHeight="1" x14ac:dyDescent="0.2">
      <c r="A27" s="156"/>
      <c r="B27"/>
      <c r="C27" s="115" t="s">
        <v>220</v>
      </c>
      <c r="H27" s="174"/>
      <c r="I27" s="2"/>
      <c r="J27" s="295">
        <f>APHc*J25*IndemPc</f>
        <v>851.04</v>
      </c>
      <c r="K27" s="143"/>
      <c r="L27" s="144">
        <f>APHc*J25*IndemPc</f>
        <v>851.04</v>
      </c>
      <c r="M27" s="143"/>
      <c r="N27" s="145">
        <f>APHs*N25*IndemPs</f>
        <v>605.43999999999994</v>
      </c>
      <c r="AA27" s="175"/>
    </row>
    <row r="28" spans="1:27" s="1" customFormat="1" x14ac:dyDescent="0.2">
      <c r="A28" s="176"/>
      <c r="C28" s="177" t="s">
        <v>218</v>
      </c>
      <c r="H28" s="178"/>
      <c r="J28" s="138">
        <f>J25*APHc</f>
        <v>144</v>
      </c>
      <c r="K28" s="139"/>
      <c r="L28" s="140">
        <f>J25*APHc</f>
        <v>144</v>
      </c>
      <c r="M28" s="139"/>
      <c r="N28" s="141">
        <f>APHs*N25</f>
        <v>44</v>
      </c>
      <c r="O28" s="139"/>
      <c r="AA28" s="165"/>
    </row>
    <row r="29" spans="1:27" s="1" customFormat="1" x14ac:dyDescent="0.2">
      <c r="A29" s="176"/>
      <c r="C29" s="177" t="s">
        <v>215</v>
      </c>
      <c r="F29" s="170"/>
      <c r="H29" s="178"/>
      <c r="J29" s="41" t="str">
        <f>IF(InsSelc="Revenue Protection",IF(AND(J15*F11&lt;=RevGuarc*PractPercent,F16&lt;Practicalc+1),"Yes","No"),IF(InsSelc="Yield Protection",IF(AND(F15&lt;=J28*J97,F16&lt;R24+1),"Yes","No"),"No"))</f>
        <v>No</v>
      </c>
      <c r="K29" s="143"/>
      <c r="L29" s="144"/>
      <c r="M29" s="143"/>
      <c r="N29" s="145"/>
      <c r="Q29" s="271"/>
      <c r="V29" s="2"/>
      <c r="W29" s="2"/>
      <c r="X29" s="2"/>
    </row>
    <row r="30" spans="1:27" s="2" customFormat="1" ht="23.25" customHeight="1" thickBot="1" x14ac:dyDescent="0.35">
      <c r="A30" s="149"/>
      <c r="B30" s="36"/>
      <c r="C30" s="411" t="s">
        <v>20</v>
      </c>
      <c r="D30" s="412"/>
      <c r="E30" s="54"/>
      <c r="F30" s="4"/>
      <c r="G30" s="4"/>
      <c r="H30" s="174"/>
      <c r="J30" s="41"/>
      <c r="K30" s="42"/>
      <c r="L30" s="293"/>
      <c r="M30" s="42"/>
      <c r="N30" s="294"/>
      <c r="Q30" s="1"/>
    </row>
    <row r="31" spans="1:27" s="2" customFormat="1" ht="15.75" thickTop="1" x14ac:dyDescent="0.25">
      <c r="A31" s="156"/>
      <c r="B31"/>
      <c r="C31" s="129" t="s">
        <v>10</v>
      </c>
      <c r="D31" s="51"/>
      <c r="E31" s="51"/>
      <c r="H31" s="10"/>
      <c r="I31" s="7"/>
      <c r="J31" s="388"/>
      <c r="K31" s="44"/>
      <c r="L31" s="62"/>
      <c r="M31" s="27"/>
      <c r="N31" s="59">
        <v>12</v>
      </c>
      <c r="R31" s="1"/>
    </row>
    <row r="32" spans="1:27" s="2" customFormat="1" ht="12.75" customHeight="1" x14ac:dyDescent="0.25">
      <c r="A32" s="156"/>
      <c r="B32"/>
      <c r="C32" s="47" t="s">
        <v>16</v>
      </c>
      <c r="D32" s="32"/>
      <c r="E32" s="32"/>
      <c r="F32" s="51"/>
      <c r="G32" s="51"/>
      <c r="H32" s="10"/>
      <c r="J32" s="179"/>
      <c r="K32" s="44"/>
      <c r="M32" s="44"/>
      <c r="N32" s="180"/>
      <c r="Q32" s="276"/>
      <c r="V32" s="276"/>
    </row>
    <row r="33" spans="1:22" s="2" customFormat="1" ht="12.75" customHeight="1" x14ac:dyDescent="0.25">
      <c r="A33" s="156"/>
      <c r="B33"/>
      <c r="C33" s="24" t="s">
        <v>159</v>
      </c>
      <c r="E33" s="51"/>
      <c r="H33" s="10"/>
      <c r="J33" s="241"/>
      <c r="K33" s="181"/>
      <c r="L33" s="243">
        <v>65</v>
      </c>
      <c r="M33" s="27"/>
      <c r="N33" s="63">
        <v>59</v>
      </c>
      <c r="O33" s="9"/>
      <c r="Q33" s="271"/>
      <c r="R33" s="273"/>
      <c r="S33" s="273"/>
      <c r="V33" s="276"/>
    </row>
    <row r="34" spans="1:22" s="2" customFormat="1" ht="15" x14ac:dyDescent="0.25">
      <c r="A34" s="156"/>
      <c r="B34"/>
      <c r="C34" s="129" t="s">
        <v>2</v>
      </c>
      <c r="D34" s="51"/>
      <c r="E34" s="51"/>
      <c r="H34" s="10"/>
      <c r="J34" s="58"/>
      <c r="K34" s="181"/>
      <c r="L34" s="240">
        <v>15</v>
      </c>
      <c r="M34" s="27"/>
      <c r="N34" s="59"/>
      <c r="O34" s="9"/>
      <c r="Q34" s="271"/>
      <c r="R34" s="273"/>
      <c r="S34" s="273"/>
      <c r="V34" s="276"/>
    </row>
    <row r="35" spans="1:22" s="2" customFormat="1" ht="15" x14ac:dyDescent="0.25">
      <c r="A35" s="156"/>
      <c r="B35"/>
      <c r="C35" s="25" t="s">
        <v>162</v>
      </c>
      <c r="D35" s="51"/>
      <c r="E35" s="51"/>
      <c r="H35" s="10"/>
      <c r="J35" s="58"/>
      <c r="K35" s="181"/>
      <c r="L35" s="240">
        <v>0</v>
      </c>
      <c r="M35" s="27"/>
      <c r="N35" s="59"/>
      <c r="O35" s="9"/>
      <c r="Q35" s="271"/>
      <c r="R35" s="273"/>
      <c r="S35" s="273"/>
      <c r="V35" s="276"/>
    </row>
    <row r="36" spans="1:22" s="2" customFormat="1" ht="15" x14ac:dyDescent="0.25">
      <c r="A36" s="156"/>
      <c r="B36"/>
      <c r="C36" s="129" t="s">
        <v>3</v>
      </c>
      <c r="D36" s="51"/>
      <c r="E36" s="51"/>
      <c r="H36" s="10"/>
      <c r="J36" s="58">
        <v>6</v>
      </c>
      <c r="K36" s="181"/>
      <c r="L36" s="240">
        <v>6</v>
      </c>
      <c r="M36" s="27"/>
      <c r="N36" s="59">
        <v>6</v>
      </c>
      <c r="O36" s="9"/>
      <c r="Q36" s="271"/>
      <c r="V36" s="276"/>
    </row>
    <row r="37" spans="1:22" s="2" customFormat="1" ht="15" x14ac:dyDescent="0.25">
      <c r="A37" s="156"/>
      <c r="B37"/>
      <c r="C37" s="129" t="s">
        <v>4</v>
      </c>
      <c r="D37" s="51"/>
      <c r="E37" s="51"/>
      <c r="H37" s="10"/>
      <c r="J37" s="60">
        <v>4</v>
      </c>
      <c r="K37" s="29"/>
      <c r="L37" s="240">
        <v>4</v>
      </c>
      <c r="M37" s="27"/>
      <c r="N37" s="59">
        <v>4</v>
      </c>
      <c r="O37" s="8"/>
      <c r="Q37" s="271"/>
      <c r="R37" s="1"/>
      <c r="V37" s="276"/>
    </row>
    <row r="38" spans="1:22" s="2" customFormat="1" ht="15" x14ac:dyDescent="0.25">
      <c r="A38" s="156"/>
      <c r="B38"/>
      <c r="C38" s="407" t="s">
        <v>9</v>
      </c>
      <c r="D38" s="408"/>
      <c r="E38" s="408"/>
      <c r="F38" s="408"/>
      <c r="G38" s="408"/>
      <c r="H38" s="409"/>
      <c r="J38" s="239"/>
      <c r="K38" s="44"/>
      <c r="L38" s="240"/>
      <c r="M38" s="27"/>
      <c r="N38" s="59"/>
      <c r="Q38" s="271"/>
      <c r="R38" s="276"/>
      <c r="V38" s="276"/>
    </row>
    <row r="39" spans="1:22" s="2" customFormat="1" ht="15" x14ac:dyDescent="0.25">
      <c r="A39" s="156"/>
      <c r="B39"/>
      <c r="C39" s="48" t="s">
        <v>17</v>
      </c>
      <c r="D39" s="52" t="s">
        <v>25</v>
      </c>
      <c r="E39" s="52"/>
      <c r="F39" s="182" t="s">
        <v>24</v>
      </c>
      <c r="G39" s="182"/>
      <c r="H39" s="61" t="s">
        <v>1</v>
      </c>
      <c r="J39" s="183"/>
      <c r="K39" s="29"/>
      <c r="L39" s="62"/>
      <c r="M39" s="27"/>
      <c r="N39" s="180"/>
      <c r="O39" s="8"/>
      <c r="Q39" s="271"/>
      <c r="R39" s="1"/>
      <c r="V39" s="276"/>
    </row>
    <row r="40" spans="1:22" s="2" customFormat="1" ht="15" x14ac:dyDescent="0.2">
      <c r="A40" s="156"/>
      <c r="B40"/>
      <c r="C40" s="15" t="s">
        <v>163</v>
      </c>
      <c r="D40" s="53">
        <v>0.25</v>
      </c>
      <c r="E40" s="184"/>
      <c r="F40" s="53">
        <v>0.3</v>
      </c>
      <c r="G40" s="184"/>
      <c r="H40" s="40">
        <v>0.05</v>
      </c>
      <c r="J40" s="134">
        <f>D40*J15</f>
        <v>12.5</v>
      </c>
      <c r="K40" s="135"/>
      <c r="L40" s="136">
        <f ca="1">F40*L17</f>
        <v>38.036168180555102</v>
      </c>
      <c r="M40" s="135"/>
      <c r="N40" s="137">
        <f ca="1">H40*N17</f>
        <v>2.111666666530073</v>
      </c>
      <c r="O40" s="11"/>
      <c r="Q40" s="271"/>
      <c r="V40" s="276"/>
    </row>
    <row r="41" spans="1:22" s="2" customFormat="1" ht="15" x14ac:dyDescent="0.25">
      <c r="A41" s="156"/>
      <c r="B41"/>
      <c r="C41" s="129" t="s">
        <v>3</v>
      </c>
      <c r="D41" s="51"/>
      <c r="E41" s="51"/>
      <c r="H41" s="10"/>
      <c r="J41" s="60">
        <v>11</v>
      </c>
      <c r="K41" s="181"/>
      <c r="L41" s="240">
        <v>11</v>
      </c>
      <c r="M41" s="27"/>
      <c r="N41" s="59">
        <v>6</v>
      </c>
      <c r="O41" s="9"/>
      <c r="Q41" s="271"/>
      <c r="V41" s="276"/>
    </row>
    <row r="42" spans="1:22" s="2" customFormat="1" ht="15" x14ac:dyDescent="0.25">
      <c r="A42" s="156"/>
      <c r="B42"/>
      <c r="C42" s="129" t="s">
        <v>9</v>
      </c>
      <c r="H42" s="10"/>
      <c r="J42" s="60"/>
      <c r="K42" s="181"/>
      <c r="L42" s="240"/>
      <c r="M42" s="27"/>
      <c r="N42" s="59"/>
      <c r="O42" s="9"/>
      <c r="Q42" s="271"/>
      <c r="V42" s="276"/>
    </row>
    <row r="43" spans="1:22" s="186" customFormat="1" ht="12.75" customHeight="1" x14ac:dyDescent="0.25">
      <c r="A43" s="185"/>
      <c r="B43" s="69"/>
      <c r="C43" s="3" t="s">
        <v>4</v>
      </c>
      <c r="D43" s="2"/>
      <c r="E43" s="2"/>
      <c r="H43" s="187"/>
      <c r="I43" s="69"/>
      <c r="J43" s="242">
        <v>15</v>
      </c>
      <c r="K43" s="45"/>
      <c r="L43" s="244">
        <v>15</v>
      </c>
      <c r="M43" s="27"/>
      <c r="N43" s="43">
        <v>15</v>
      </c>
      <c r="O43" s="28"/>
      <c r="Q43" s="271"/>
      <c r="R43" s="2"/>
      <c r="V43" s="276"/>
    </row>
    <row r="44" spans="1:22" s="39" customFormat="1" ht="15.75" thickBot="1" x14ac:dyDescent="0.3">
      <c r="A44" s="188"/>
      <c r="B44" s="189"/>
      <c r="C44" s="102" t="s">
        <v>14</v>
      </c>
      <c r="D44" s="190"/>
      <c r="E44" s="191"/>
      <c r="F44" s="192"/>
      <c r="G44" s="193"/>
      <c r="H44" s="194"/>
      <c r="I44" s="100"/>
      <c r="J44" s="103">
        <f>SUM(J31:J43)</f>
        <v>48.5</v>
      </c>
      <c r="K44" s="104"/>
      <c r="L44" s="71">
        <f ca="1">SUM(L31:L43)</f>
        <v>154.03616818055511</v>
      </c>
      <c r="M44" s="104"/>
      <c r="N44" s="68">
        <f ca="1">SUM(N31:N43)</f>
        <v>104.11166666653007</v>
      </c>
      <c r="O44" s="104"/>
    </row>
    <row r="45" spans="1:22" s="2" customFormat="1" ht="13.5" thickTop="1" x14ac:dyDescent="0.2">
      <c r="A45" s="156"/>
      <c r="B45"/>
      <c r="C45" s="195"/>
      <c r="D45" s="186"/>
      <c r="E45" s="186"/>
      <c r="H45" s="10"/>
      <c r="J45" s="38"/>
      <c r="K45" s="29"/>
      <c r="L45" s="196"/>
      <c r="M45" s="197"/>
      <c r="N45" s="198"/>
      <c r="O45" s="29"/>
      <c r="Q45" s="166"/>
    </row>
    <row r="46" spans="1:22" s="2" customFormat="1" x14ac:dyDescent="0.2">
      <c r="A46" s="156"/>
      <c r="B46"/>
      <c r="C46" s="3" t="s">
        <v>13</v>
      </c>
      <c r="H46" s="10"/>
      <c r="J46" s="88">
        <f>J15*$F9</f>
        <v>287.5</v>
      </c>
      <c r="K46" s="49"/>
      <c r="L46" s="89">
        <f ca="1">L17*$F9</f>
        <v>729.02655679397287</v>
      </c>
      <c r="M46" s="90"/>
      <c r="N46" s="50">
        <f ca="1">N17*$H9</f>
        <v>549.0333332978189</v>
      </c>
      <c r="O46" s="90"/>
      <c r="Q46" s="166"/>
    </row>
    <row r="47" spans="1:22" s="2" customFormat="1" x14ac:dyDescent="0.2">
      <c r="A47" s="156"/>
      <c r="B47"/>
      <c r="C47" s="3" t="s">
        <v>6</v>
      </c>
      <c r="H47" s="10"/>
      <c r="J47" s="88">
        <f>IF(J29="Yes",0,IF(InsSelc="Yield Protection",AsIsYPIndc,AsIsRPIndc))</f>
        <v>576.04</v>
      </c>
      <c r="K47" s="49"/>
      <c r="L47" s="89">
        <f ca="1">IF(InsSelc="Yield Protection",RepYPIndc,RepRPIndc)</f>
        <v>153.71025002315639</v>
      </c>
      <c r="M47" s="90"/>
      <c r="N47" s="50">
        <f ca="1">IF(Crop1Perc*Crop1Pmt&gt;IF(InsSels="Yield Protection",YPInds,RPInds),Crop1Pmt,(1-Crop1Perc)*Crop1Pmt+Crop1Perc*F21)</f>
        <v>576.04</v>
      </c>
      <c r="O47" s="39"/>
      <c r="Q47" s="165"/>
    </row>
    <row r="48" spans="1:22" s="2" customFormat="1" x14ac:dyDescent="0.2">
      <c r="A48" s="156"/>
      <c r="B48"/>
      <c r="C48" s="3" t="s">
        <v>5</v>
      </c>
      <c r="H48" s="10"/>
      <c r="J48" s="88"/>
      <c r="K48" s="49"/>
      <c r="L48" s="89"/>
      <c r="M48" s="90"/>
      <c r="N48" s="50">
        <f ca="1">IF(N31&gt;0,IF(IF(InsSels="Yield Protection",YPInds,RPInds)&gt;Crop1Perc*Crop1Pmt,IF(InsSels="Yield Protection",YPInds,RPInds),0))</f>
        <v>0</v>
      </c>
      <c r="O48" s="90"/>
      <c r="Q48" s="169"/>
    </row>
    <row r="49" spans="1:18" s="199" customFormat="1" ht="15" x14ac:dyDescent="0.35">
      <c r="A49" s="176"/>
      <c r="B49" s="1"/>
      <c r="C49" s="55" t="s">
        <v>7</v>
      </c>
      <c r="D49" s="56"/>
      <c r="E49" s="56"/>
      <c r="F49" s="56"/>
      <c r="G49" s="56"/>
      <c r="H49" s="57"/>
      <c r="I49" s="1"/>
      <c r="J49" s="91"/>
      <c r="K49" s="92"/>
      <c r="L49" s="93">
        <f>IF(AND(F14&gt;R20-1,F15&lt;PractPercent*L28),RPltIndc*L11,0)</f>
        <v>0</v>
      </c>
      <c r="M49" s="94"/>
      <c r="N49" s="95"/>
      <c r="O49" s="96"/>
      <c r="Q49" s="322"/>
      <c r="R49" s="2"/>
    </row>
    <row r="50" spans="1:18" s="199" customFormat="1" ht="15.75" thickBot="1" x14ac:dyDescent="0.3">
      <c r="A50" s="156"/>
      <c r="B50"/>
      <c r="C50" s="66" t="s">
        <v>15</v>
      </c>
      <c r="D50" s="64"/>
      <c r="E50" s="65"/>
      <c r="F50" s="64"/>
      <c r="G50" s="65"/>
      <c r="H50" s="67"/>
      <c r="I50" s="70"/>
      <c r="J50" s="97">
        <f>SUM(J46:J49)</f>
        <v>863.54</v>
      </c>
      <c r="K50" s="98"/>
      <c r="L50" s="99">
        <f ca="1">SUM(L46:L49)</f>
        <v>882.73680681712926</v>
      </c>
      <c r="M50" s="100"/>
      <c r="N50" s="101">
        <f ca="1">SUM(N46:N49)</f>
        <v>1125.0733332978189</v>
      </c>
      <c r="O50" s="100"/>
      <c r="Q50" s="322"/>
      <c r="R50" s="2"/>
    </row>
    <row r="51" spans="1:18" s="39" customFormat="1" ht="16.5" thickTop="1" thickBot="1" x14ac:dyDescent="0.3">
      <c r="A51" s="188"/>
      <c r="B51" s="189"/>
      <c r="C51" s="105" t="s">
        <v>19</v>
      </c>
      <c r="D51" s="106"/>
      <c r="E51" s="107"/>
      <c r="F51" s="106"/>
      <c r="G51" s="107"/>
      <c r="H51" s="108"/>
      <c r="I51" s="100"/>
      <c r="J51" s="109">
        <f>J50-J44-IF(J29="yes",0,F21)</f>
        <v>790.04</v>
      </c>
      <c r="K51" s="110"/>
      <c r="L51" s="111">
        <f ca="1">L50-L44</f>
        <v>728.70063863657413</v>
      </c>
      <c r="M51" s="112"/>
      <c r="N51" s="113">
        <f ca="1">N50-N44</f>
        <v>1020.9616666312888</v>
      </c>
      <c r="O51" s="100"/>
    </row>
    <row r="52" spans="1:18" s="2" customFormat="1" x14ac:dyDescent="0.2">
      <c r="A52" s="156"/>
      <c r="B52"/>
      <c r="C52" s="30"/>
      <c r="D52" s="14"/>
      <c r="E52" s="14"/>
      <c r="J52" s="31"/>
      <c r="K52" s="31"/>
      <c r="L52" s="31"/>
      <c r="M52" s="31"/>
      <c r="N52" s="12"/>
      <c r="O52" s="12"/>
      <c r="Q52" s="166"/>
    </row>
    <row r="53" spans="1:18" ht="14.25" x14ac:dyDescent="0.2">
      <c r="C53" s="16"/>
      <c r="D53" s="16"/>
      <c r="E53" s="16"/>
      <c r="J53" s="30"/>
      <c r="K53" s="30"/>
      <c r="L53" s="30"/>
      <c r="M53" s="30"/>
      <c r="N53" s="30"/>
      <c r="O53" s="30"/>
      <c r="Q53" s="166"/>
      <c r="R53" s="2"/>
    </row>
    <row r="54" spans="1:18" ht="14.25" x14ac:dyDescent="0.2">
      <c r="C54" s="16"/>
      <c r="D54" s="16"/>
      <c r="E54" s="16"/>
      <c r="J54" s="200"/>
      <c r="K54" s="200"/>
      <c r="L54" s="200"/>
      <c r="M54" s="200"/>
      <c r="N54" s="200"/>
      <c r="Q54" s="166"/>
      <c r="R54" s="2"/>
    </row>
    <row r="55" spans="1:18" ht="14.25" x14ac:dyDescent="0.2">
      <c r="C55" s="16"/>
      <c r="D55" s="16"/>
      <c r="E55" s="16"/>
      <c r="Q55" s="166"/>
      <c r="R55" s="2"/>
    </row>
    <row r="56" spans="1:18" s="201" customFormat="1" ht="14.25" x14ac:dyDescent="0.2">
      <c r="A56" s="156"/>
      <c r="C56" s="202"/>
      <c r="D56" s="202"/>
      <c r="E56" s="202"/>
      <c r="F56" s="203"/>
      <c r="G56" s="203"/>
      <c r="H56" s="203"/>
      <c r="I56" s="203"/>
      <c r="J56" s="203"/>
      <c r="K56" s="203"/>
      <c r="L56" s="203"/>
      <c r="Q56" s="204"/>
      <c r="R56" s="205"/>
    </row>
    <row r="57" spans="1:18" x14ac:dyDescent="0.2">
      <c r="Q57" s="166"/>
      <c r="R57" s="2"/>
    </row>
    <row r="58" spans="1:18" x14ac:dyDescent="0.2">
      <c r="Q58" s="166"/>
      <c r="R58" s="2"/>
    </row>
    <row r="59" spans="1:18" x14ac:dyDescent="0.2">
      <c r="Q59" s="166"/>
      <c r="R59" s="2"/>
    </row>
    <row r="60" spans="1:18" x14ac:dyDescent="0.2">
      <c r="Q60" s="166"/>
      <c r="R60" s="2"/>
    </row>
    <row r="61" spans="1:18" x14ac:dyDescent="0.2">
      <c r="Q61" s="166"/>
      <c r="R61" s="2"/>
    </row>
    <row r="62" spans="1:18" x14ac:dyDescent="0.2">
      <c r="Q62" s="166"/>
      <c r="R62" s="2"/>
    </row>
    <row r="63" spans="1:18" x14ac:dyDescent="0.2">
      <c r="Q63" s="166"/>
      <c r="R63" s="2"/>
    </row>
    <row r="64" spans="1:18" x14ac:dyDescent="0.2">
      <c r="Q64" s="166"/>
      <c r="R64" s="2"/>
    </row>
    <row r="65" spans="1:43" x14ac:dyDescent="0.2">
      <c r="Q65" s="166"/>
      <c r="R65" s="2"/>
    </row>
    <row r="66" spans="1:43" x14ac:dyDescent="0.2">
      <c r="Q66" s="166"/>
      <c r="R66" s="2"/>
    </row>
    <row r="67" spans="1:43" x14ac:dyDescent="0.2">
      <c r="B67" s="13"/>
      <c r="Q67" s="166"/>
      <c r="R67" s="2"/>
    </row>
    <row r="68" spans="1:43" s="206" customFormat="1" x14ac:dyDescent="0.2">
      <c r="A68" s="156"/>
      <c r="B68"/>
      <c r="Q68" s="207"/>
    </row>
    <row r="69" spans="1:43" s="1" customFormat="1" x14ac:dyDescent="0.2">
      <c r="A69" s="156"/>
      <c r="B69"/>
      <c r="Q69" s="166"/>
      <c r="R69" s="2"/>
    </row>
    <row r="70" spans="1:43" s="1" customFormat="1" x14ac:dyDescent="0.2">
      <c r="A70" s="176"/>
      <c r="C70" s="34"/>
      <c r="D70" s="34"/>
      <c r="E70" s="34"/>
      <c r="Q70" s="166"/>
      <c r="R70" s="2"/>
      <c r="S70"/>
      <c r="AC70"/>
      <c r="AD70"/>
      <c r="AE70"/>
      <c r="AF70"/>
      <c r="AG70"/>
      <c r="AH70"/>
    </row>
    <row r="71" spans="1:43" s="1" customFormat="1" ht="14.25" x14ac:dyDescent="0.2">
      <c r="A71" s="176"/>
      <c r="C71" s="35"/>
      <c r="D71" s="35"/>
      <c r="E71" s="35"/>
      <c r="Q71" s="166"/>
      <c r="R71" s="2"/>
      <c r="S71"/>
      <c r="T71"/>
      <c r="U71"/>
      <c r="V71"/>
      <c r="W71"/>
      <c r="X71"/>
      <c r="Y71"/>
      <c r="Z71"/>
      <c r="AB71"/>
      <c r="AC71"/>
      <c r="AD71"/>
      <c r="AE71"/>
      <c r="AF71"/>
      <c r="AG71" s="18"/>
      <c r="AH71" s="208"/>
      <c r="AI71" s="208"/>
      <c r="AJ71" s="18"/>
    </row>
    <row r="72" spans="1:43" s="36" customFormat="1" x14ac:dyDescent="0.2">
      <c r="A72" s="149"/>
      <c r="C72" s="410"/>
      <c r="D72" s="410"/>
      <c r="E72" s="410"/>
      <c r="F72" s="410"/>
      <c r="G72" s="130"/>
      <c r="L72" s="209"/>
      <c r="M72" s="209"/>
      <c r="Q72" s="166"/>
      <c r="R72" s="2"/>
      <c r="S72"/>
      <c r="T72"/>
      <c r="U72"/>
      <c r="V72"/>
      <c r="W72"/>
      <c r="X72"/>
      <c r="Y72"/>
      <c r="Z72"/>
      <c r="AB72"/>
      <c r="AC72"/>
      <c r="AD72"/>
      <c r="AE72"/>
      <c r="AG72" s="155"/>
      <c r="AH72" s="208"/>
      <c r="AI72" s="208"/>
      <c r="AJ72" s="155"/>
      <c r="AQ72"/>
    </row>
    <row r="73" spans="1:43" x14ac:dyDescent="0.2">
      <c r="Q73" s="166"/>
      <c r="R73" s="2"/>
      <c r="X73" s="36"/>
      <c r="AG73" s="155"/>
      <c r="AH73" s="208"/>
      <c r="AI73" s="208"/>
      <c r="AJ73" s="155"/>
    </row>
    <row r="74" spans="1:43" x14ac:dyDescent="0.2">
      <c r="Q74" s="166"/>
      <c r="R74" s="2"/>
      <c r="U74" s="210"/>
      <c r="X74" s="36"/>
      <c r="AG74" s="155"/>
      <c r="AH74" s="208"/>
      <c r="AI74" s="208"/>
      <c r="AJ74" s="155"/>
      <c r="AQ74" s="211"/>
    </row>
    <row r="75" spans="1:43" x14ac:dyDescent="0.2">
      <c r="Q75" s="166"/>
      <c r="R75" s="2"/>
      <c r="U75" s="210"/>
      <c r="AF75" s="212"/>
      <c r="AG75" s="212"/>
      <c r="AH75" s="119"/>
      <c r="AI75" s="119"/>
      <c r="AJ75" s="212"/>
      <c r="AK75" s="212"/>
      <c r="AN75" s="211"/>
    </row>
    <row r="76" spans="1:43" x14ac:dyDescent="0.2">
      <c r="C76" s="213"/>
      <c r="D76" s="213"/>
      <c r="E76" s="213"/>
      <c r="F76" s="214"/>
      <c r="G76" s="214"/>
      <c r="H76" s="214"/>
      <c r="I76" s="214"/>
      <c r="J76" s="214"/>
      <c r="K76" s="214"/>
      <c r="L76" s="214"/>
      <c r="M76" s="214"/>
      <c r="N76" s="214"/>
      <c r="Q76" s="166"/>
      <c r="R76" s="2"/>
      <c r="T76" s="30"/>
      <c r="U76" s="30"/>
      <c r="V76" s="30"/>
      <c r="W76" s="30"/>
      <c r="X76" s="30"/>
      <c r="Y76" s="30"/>
      <c r="Z76" s="30"/>
      <c r="AA76" s="30"/>
      <c r="AB76" s="30"/>
      <c r="AF76" s="215"/>
      <c r="AG76" s="212"/>
      <c r="AH76" s="212"/>
      <c r="AI76" s="212"/>
      <c r="AJ76" s="212"/>
      <c r="AK76" s="212"/>
    </row>
    <row r="77" spans="1:43" ht="12.75" customHeight="1" x14ac:dyDescent="0.2">
      <c r="Q77" s="166"/>
      <c r="R77" s="2"/>
      <c r="U77" s="210"/>
      <c r="AF77" s="212"/>
      <c r="AG77" s="212"/>
      <c r="AJ77" s="212"/>
      <c r="AK77" s="212"/>
    </row>
    <row r="78" spans="1:43" x14ac:dyDescent="0.2">
      <c r="Q78" s="166"/>
      <c r="R78" s="2"/>
      <c r="T78" s="1"/>
      <c r="U78" s="216"/>
      <c r="V78" s="216"/>
      <c r="AB78" s="1"/>
      <c r="AC78" s="216"/>
      <c r="AD78" s="216"/>
      <c r="AF78" s="212"/>
      <c r="AG78" s="212"/>
      <c r="AJ78" s="212"/>
      <c r="AK78" s="212"/>
      <c r="AN78" s="212"/>
    </row>
    <row r="79" spans="1:43" ht="12.75" customHeight="1" x14ac:dyDescent="0.2">
      <c r="Q79" s="166"/>
      <c r="R79" s="2"/>
      <c r="U79" s="210"/>
      <c r="AF79" s="212"/>
      <c r="AG79" s="212"/>
      <c r="AH79" s="217"/>
      <c r="AJ79" s="212"/>
      <c r="AK79" s="212"/>
    </row>
    <row r="80" spans="1:43" x14ac:dyDescent="0.2">
      <c r="H80" s="30" t="s">
        <v>151</v>
      </c>
      <c r="I80" s="220" t="str">
        <f>VLOOKUP(D5,RMAData!A3:D117,2)</f>
        <v>Central and North MO</v>
      </c>
      <c r="Q80" s="166"/>
      <c r="R80" s="2"/>
      <c r="U80" s="210"/>
      <c r="X80" s="218"/>
      <c r="AF80" s="212"/>
      <c r="AG80" s="212"/>
      <c r="AH80" s="219"/>
      <c r="AI80" s="212"/>
      <c r="AJ80" s="212"/>
      <c r="AK80" s="212"/>
    </row>
    <row r="81" spans="1:54" ht="14.25" x14ac:dyDescent="0.2">
      <c r="C81" s="1"/>
      <c r="D81" s="16"/>
      <c r="E81" s="16"/>
      <c r="J81" s="30"/>
      <c r="K81" s="30"/>
      <c r="L81" s="30"/>
      <c r="M81" s="30"/>
      <c r="N81" s="30"/>
      <c r="O81" s="30"/>
      <c r="Q81" s="166"/>
      <c r="R81" s="2"/>
      <c r="U81" s="220"/>
      <c r="AG81" s="155"/>
      <c r="AH81" s="212"/>
      <c r="AI81" s="221"/>
      <c r="AJ81" s="155"/>
    </row>
    <row r="82" spans="1:54" s="4" customFormat="1" ht="14.25" x14ac:dyDescent="0.2">
      <c r="A82" s="176"/>
      <c r="B82" s="1"/>
      <c r="D82" s="16"/>
      <c r="E82" s="16"/>
      <c r="F82"/>
      <c r="G82"/>
      <c r="H82" s="42"/>
      <c r="I82"/>
      <c r="J82" s="189"/>
      <c r="K82" s="189"/>
      <c r="L82" s="189"/>
      <c r="M82" s="189"/>
      <c r="N82" s="189"/>
      <c r="O82"/>
      <c r="P82"/>
      <c r="Q82" s="166"/>
      <c r="R82" s="2"/>
      <c r="S82"/>
      <c r="T82"/>
      <c r="U82"/>
      <c r="V82"/>
      <c r="W82"/>
      <c r="X82"/>
      <c r="Y82"/>
      <c r="Z82"/>
      <c r="AB82"/>
      <c r="AC82"/>
      <c r="AD82"/>
      <c r="AE82"/>
      <c r="AF82"/>
      <c r="AG82"/>
      <c r="AH82"/>
      <c r="AM82"/>
      <c r="AN82"/>
      <c r="AO82"/>
      <c r="AP82"/>
      <c r="AQ82"/>
    </row>
    <row r="83" spans="1:54" s="4" customFormat="1" ht="12.75" customHeight="1" x14ac:dyDescent="0.2">
      <c r="A83" s="222"/>
      <c r="D83" s="16"/>
      <c r="E83" s="16"/>
      <c r="F83" s="1"/>
      <c r="G83"/>
      <c r="H83" s="296" t="s">
        <v>219</v>
      </c>
      <c r="I83"/>
      <c r="J83" s="30" t="s">
        <v>194</v>
      </c>
      <c r="K83" s="189"/>
      <c r="L83" s="189"/>
      <c r="M83" s="189"/>
      <c r="N83" s="189"/>
      <c r="O83"/>
      <c r="P83"/>
      <c r="Q83" s="166"/>
      <c r="R83" s="2"/>
      <c r="S83"/>
      <c r="T83"/>
      <c r="U83"/>
      <c r="V83"/>
      <c r="W83"/>
      <c r="X83"/>
      <c r="Y83"/>
      <c r="Z83"/>
      <c r="AB83"/>
      <c r="AC83"/>
      <c r="AD83"/>
      <c r="AE83"/>
      <c r="AF83"/>
      <c r="AG83"/>
      <c r="AH83" s="1" t="s">
        <v>153</v>
      </c>
      <c r="AK83" s="1" t="s">
        <v>154</v>
      </c>
      <c r="AM83"/>
      <c r="AN83"/>
      <c r="AO83"/>
      <c r="AP83"/>
      <c r="AQ83"/>
      <c r="AT83" s="1"/>
      <c r="AU83" s="1"/>
      <c r="AV83" s="1"/>
      <c r="AW83" s="1"/>
      <c r="AX83" s="1"/>
      <c r="AY83" s="1"/>
      <c r="AZ83" s="1"/>
      <c r="BA83" s="1"/>
      <c r="BB83" s="1"/>
    </row>
    <row r="84" spans="1:54" s="4" customFormat="1" ht="14.25" x14ac:dyDescent="0.2">
      <c r="A84" s="222"/>
      <c r="D84" s="16"/>
      <c r="E84" s="16"/>
      <c r="F84"/>
      <c r="G84"/>
      <c r="H84" s="223" t="s">
        <v>26</v>
      </c>
      <c r="I84"/>
      <c r="J84" s="189">
        <f>MAX(0,(J28-J15)*J11)</f>
        <v>555.54</v>
      </c>
      <c r="K84" s="189"/>
      <c r="L84" s="200">
        <f ca="1">MAX(0,(L28-L17)*L11)</f>
        <v>101.72748684306444</v>
      </c>
      <c r="M84" s="189"/>
      <c r="N84" s="189">
        <f ca="1">MAX((N28-N17)*N11,0)</f>
        <v>24.309333370923994</v>
      </c>
      <c r="O84"/>
      <c r="P84"/>
      <c r="Q84" s="39"/>
      <c r="R84" s="2"/>
      <c r="S84"/>
      <c r="T84" s="6"/>
      <c r="U84" s="155"/>
      <c r="V84" s="155"/>
      <c r="W84"/>
      <c r="X84"/>
      <c r="Y84"/>
      <c r="Z84"/>
      <c r="AB84" s="220"/>
      <c r="AC84" s="155"/>
      <c r="AD84" s="155"/>
      <c r="AE84"/>
      <c r="AF84"/>
      <c r="AG84"/>
      <c r="AH84" s="171">
        <v>1</v>
      </c>
      <c r="AK84" s="224">
        <v>0.85</v>
      </c>
      <c r="AM84"/>
      <c r="AN84"/>
      <c r="AO84"/>
      <c r="AP84"/>
      <c r="AQ84"/>
      <c r="AT84" s="189"/>
      <c r="AU84" s="220"/>
      <c r="AV84" s="189"/>
      <c r="AW84" s="220"/>
      <c r="AX84" s="189"/>
      <c r="AY84"/>
      <c r="AZ84"/>
      <c r="BA84"/>
      <c r="BB84"/>
    </row>
    <row r="85" spans="1:54" s="4" customFormat="1" ht="14.25" x14ac:dyDescent="0.2">
      <c r="A85" s="222"/>
      <c r="D85" s="16"/>
      <c r="E85" s="16"/>
      <c r="F85"/>
      <c r="G85"/>
      <c r="H85" s="223" t="s">
        <v>150</v>
      </c>
      <c r="I85"/>
      <c r="J85" s="189">
        <f>MAX(0,(J28*MAX(IndemPc,MIN(IndemPc*2,$F$10))-J15*$F$10))</f>
        <v>576.04</v>
      </c>
      <c r="K85" s="189"/>
      <c r="L85" s="189">
        <f ca="1">MAX(0,(L28*MAX(IndemPc,MIN(IndemPc*2,$F$10))-L17*$F$10))</f>
        <v>153.71025002315639</v>
      </c>
      <c r="M85" s="189"/>
      <c r="N85" s="189">
        <f ca="1">MAX((N28*MAX(IndemPs,MIN(IndemPs*2,$H$10))-N17*$H$10),0)</f>
        <v>24.731666704229951</v>
      </c>
      <c r="O85"/>
      <c r="P85"/>
      <c r="Q85" s="39"/>
      <c r="R85" s="2"/>
      <c r="S85"/>
      <c r="T85" s="6"/>
      <c r="U85" s="155"/>
      <c r="V85" s="155"/>
      <c r="W85"/>
      <c r="X85"/>
      <c r="Y85"/>
      <c r="Z85"/>
      <c r="AB85" s="220"/>
      <c r="AC85" s="155"/>
      <c r="AD85" s="155"/>
      <c r="AE85"/>
      <c r="AF85"/>
      <c r="AG85"/>
      <c r="AH85" s="171">
        <v>0.99</v>
      </c>
      <c r="AK85" s="224">
        <v>0.8</v>
      </c>
      <c r="AM85"/>
      <c r="AN85"/>
      <c r="AO85"/>
      <c r="AP85"/>
      <c r="AQ85"/>
      <c r="AT85" s="189"/>
      <c r="AU85" s="220"/>
      <c r="AV85"/>
      <c r="AW85" s="220"/>
      <c r="AX85"/>
      <c r="AY85"/>
      <c r="AZ85"/>
      <c r="BA85"/>
      <c r="BB85"/>
    </row>
    <row r="86" spans="1:54" s="4" customFormat="1" ht="14.25" x14ac:dyDescent="0.2">
      <c r="A86" s="222"/>
      <c r="D86" s="16"/>
      <c r="E86" s="16"/>
      <c r="F86"/>
      <c r="G86"/>
      <c r="H86" s="223" t="s">
        <v>229</v>
      </c>
      <c r="I86"/>
      <c r="J86" s="200"/>
      <c r="K86" s="200"/>
      <c r="L86" s="200"/>
      <c r="M86" s="200"/>
      <c r="N86" s="200"/>
      <c r="O86"/>
      <c r="P86"/>
      <c r="Q86" s="39"/>
      <c r="R86" s="2"/>
      <c r="S86"/>
      <c r="T86" s="6"/>
      <c r="U86" s="155"/>
      <c r="V86" s="155"/>
      <c r="W86"/>
      <c r="X86"/>
      <c r="Y86"/>
      <c r="Z86"/>
      <c r="AB86" s="220"/>
      <c r="AC86" s="155"/>
      <c r="AD86" s="155"/>
      <c r="AE86"/>
      <c r="AF86"/>
      <c r="AG86"/>
      <c r="AH86" s="171">
        <v>0.98</v>
      </c>
      <c r="AK86" s="224">
        <v>0.75</v>
      </c>
      <c r="AM86"/>
      <c r="AN86"/>
      <c r="AO86"/>
      <c r="AP86"/>
      <c r="AQ86"/>
      <c r="AT86" s="189"/>
      <c r="AU86" s="220"/>
      <c r="AV86"/>
      <c r="AW86" s="220"/>
      <c r="AX86"/>
      <c r="AY86"/>
      <c r="AZ86"/>
      <c r="BA86"/>
      <c r="BB86"/>
    </row>
    <row r="87" spans="1:54" s="4" customFormat="1" x14ac:dyDescent="0.2">
      <c r="A87" s="222"/>
      <c r="C87"/>
      <c r="D87"/>
      <c r="E87"/>
      <c r="F87"/>
      <c r="G87"/>
      <c r="H87"/>
      <c r="I87"/>
      <c r="J87"/>
      <c r="K87"/>
      <c r="L87"/>
      <c r="M87"/>
      <c r="N87"/>
      <c r="O87"/>
      <c r="P87"/>
      <c r="Q87" s="166"/>
      <c r="R87" s="2"/>
      <c r="S87"/>
      <c r="T87" s="6"/>
      <c r="U87" s="155"/>
      <c r="V87" s="155"/>
      <c r="W87"/>
      <c r="X87"/>
      <c r="Y87"/>
      <c r="Z87"/>
      <c r="AB87" s="220"/>
      <c r="AC87" s="155"/>
      <c r="AD87" s="155"/>
      <c r="AE87"/>
      <c r="AF87"/>
      <c r="AG87"/>
      <c r="AH87" s="171">
        <v>0.97</v>
      </c>
      <c r="AK87" s="224">
        <v>0.7</v>
      </c>
      <c r="AM87"/>
      <c r="AN87"/>
      <c r="AO87"/>
      <c r="AP87"/>
      <c r="AQ87"/>
      <c r="AT87" s="189"/>
      <c r="AU87" s="220"/>
      <c r="AV87"/>
      <c r="AW87" s="220"/>
      <c r="AX87"/>
      <c r="AY87"/>
      <c r="AZ87"/>
      <c r="BA87"/>
      <c r="BB87"/>
    </row>
    <row r="88" spans="1:54" s="4" customFormat="1" x14ac:dyDescent="0.2">
      <c r="A88" s="222"/>
      <c r="C88"/>
      <c r="D88"/>
      <c r="E88"/>
      <c r="F88"/>
      <c r="H88" s="225"/>
      <c r="Q88" s="166"/>
      <c r="R88" s="2"/>
      <c r="S88"/>
      <c r="T88" s="6"/>
      <c r="U88" s="155"/>
      <c r="V88" s="155"/>
      <c r="W88"/>
      <c r="X88"/>
      <c r="Y88"/>
      <c r="Z88"/>
      <c r="AB88" s="220"/>
      <c r="AC88" s="155"/>
      <c r="AD88" s="155"/>
      <c r="AE88"/>
      <c r="AF88"/>
      <c r="AG88"/>
      <c r="AH88" s="171">
        <v>0.96</v>
      </c>
      <c r="AK88" s="224">
        <v>0.65</v>
      </c>
      <c r="AM88"/>
      <c r="AN88"/>
      <c r="AO88"/>
      <c r="AP88"/>
      <c r="AQ88"/>
      <c r="AT88" s="189"/>
      <c r="AU88" s="220"/>
      <c r="AV88"/>
      <c r="AW88" s="220"/>
      <c r="AX88"/>
      <c r="AY88"/>
      <c r="AZ88"/>
      <c r="BA88"/>
      <c r="BB88"/>
    </row>
    <row r="89" spans="1:54" s="4" customFormat="1" x14ac:dyDescent="0.2">
      <c r="A89" s="222"/>
      <c r="C89"/>
      <c r="D89"/>
      <c r="E89"/>
      <c r="F89"/>
      <c r="G89" s="14"/>
      <c r="H89" s="30"/>
      <c r="I89" s="1"/>
      <c r="J89" s="1"/>
      <c r="K89" s="1"/>
      <c r="L89" s="1"/>
      <c r="M89" s="1"/>
      <c r="N89" s="1"/>
      <c r="O89" s="1"/>
      <c r="P89" s="1"/>
      <c r="Q89" s="166"/>
      <c r="R89" s="2"/>
      <c r="S89"/>
      <c r="T89" s="6"/>
      <c r="U89" s="155"/>
      <c r="V89" s="155"/>
      <c r="W89"/>
      <c r="X89"/>
      <c r="Y89"/>
      <c r="Z89"/>
      <c r="AB89" s="220"/>
      <c r="AC89" s="155"/>
      <c r="AD89" s="155"/>
      <c r="AE89"/>
      <c r="AF89"/>
      <c r="AG89"/>
      <c r="AH89" s="171">
        <v>0.95</v>
      </c>
      <c r="AK89" s="224">
        <v>0.6</v>
      </c>
      <c r="AM89"/>
      <c r="AN89"/>
      <c r="AO89"/>
      <c r="AP89"/>
      <c r="AQ89"/>
      <c r="AT89" s="189"/>
      <c r="AU89" s="220"/>
      <c r="AV89"/>
      <c r="AW89" s="220"/>
      <c r="AX89"/>
      <c r="AY89"/>
      <c r="AZ89"/>
      <c r="BA89"/>
      <c r="BB89"/>
    </row>
    <row r="90" spans="1:54" s="4" customFormat="1" x14ac:dyDescent="0.2">
      <c r="A90" s="222"/>
      <c r="C90" s="226"/>
      <c r="D90" s="227"/>
      <c r="E90" s="227"/>
      <c r="F90" s="226"/>
      <c r="G90" s="226"/>
      <c r="H90" s="42"/>
      <c r="J90" s="280"/>
      <c r="K90" s="5"/>
      <c r="L90" s="46"/>
      <c r="M90" s="46"/>
      <c r="N90" s="5"/>
      <c r="O90" s="5"/>
      <c r="Q90" s="166"/>
      <c r="R90" s="2"/>
      <c r="S90"/>
      <c r="T90" s="6"/>
      <c r="U90" s="155"/>
      <c r="V90" s="155"/>
      <c r="W90"/>
      <c r="X90"/>
      <c r="Y90"/>
      <c r="Z90"/>
      <c r="AB90" s="220"/>
      <c r="AC90" s="155"/>
      <c r="AD90" s="155"/>
      <c r="AE90"/>
      <c r="AF90"/>
      <c r="AG90"/>
      <c r="AH90" s="171">
        <v>0.94</v>
      </c>
      <c r="AK90" s="224">
        <v>0.55000000000000004</v>
      </c>
      <c r="AM90"/>
      <c r="AN90"/>
      <c r="AO90"/>
      <c r="AP90"/>
      <c r="AQ90"/>
      <c r="AT90" s="189"/>
      <c r="AU90" s="220"/>
      <c r="AW90" s="220"/>
      <c r="AY90"/>
      <c r="AZ90"/>
      <c r="BA90"/>
      <c r="BB90"/>
    </row>
    <row r="91" spans="1:54" s="4" customFormat="1" x14ac:dyDescent="0.2">
      <c r="A91" s="222"/>
      <c r="C91" s="226"/>
      <c r="D91" s="227"/>
      <c r="E91" s="227"/>
      <c r="F91" s="226"/>
      <c r="G91" s="226"/>
      <c r="K91" s="5"/>
      <c r="L91" s="46"/>
      <c r="M91" s="46"/>
      <c r="N91" s="5"/>
      <c r="O91" s="5"/>
      <c r="Q91" s="166"/>
      <c r="R91" s="2"/>
      <c r="S91"/>
      <c r="T91" s="6"/>
      <c r="U91" s="155"/>
      <c r="V91" s="155"/>
      <c r="W91"/>
      <c r="X91"/>
      <c r="Y91"/>
      <c r="Z91"/>
      <c r="AB91" s="220"/>
      <c r="AC91" s="155"/>
      <c r="AD91" s="155"/>
      <c r="AE91"/>
      <c r="AF91"/>
      <c r="AG91"/>
      <c r="AH91" s="171">
        <v>0.93</v>
      </c>
      <c r="AK91" s="224">
        <v>0.5</v>
      </c>
      <c r="AN91" s="228"/>
      <c r="AO91" s="229"/>
      <c r="AP91" s="230"/>
      <c r="AQ91" s="1"/>
      <c r="AT91" s="189"/>
      <c r="AU91" s="220"/>
      <c r="AW91" s="220"/>
      <c r="AY91"/>
      <c r="AZ91"/>
      <c r="BA91"/>
      <c r="BB91"/>
    </row>
    <row r="92" spans="1:54" s="4" customFormat="1" x14ac:dyDescent="0.2">
      <c r="A92" s="222"/>
      <c r="D92" s="227"/>
      <c r="E92" s="227"/>
      <c r="F92" s="226"/>
      <c r="G92" s="226"/>
      <c r="H92" s="226" t="s">
        <v>230</v>
      </c>
      <c r="J92" s="5"/>
      <c r="K92" s="5"/>
      <c r="L92" s="46"/>
      <c r="M92" s="46"/>
      <c r="N92" s="5"/>
      <c r="O92" s="5"/>
      <c r="Q92" s="166"/>
      <c r="R92" s="2"/>
      <c r="S92"/>
      <c r="T92" s="6"/>
      <c r="U92" s="155"/>
      <c r="V92" s="155"/>
      <c r="W92"/>
      <c r="X92"/>
      <c r="Y92"/>
      <c r="Z92"/>
      <c r="AB92" s="220"/>
      <c r="AC92" s="155"/>
      <c r="AD92" s="155"/>
      <c r="AE92"/>
      <c r="AF92"/>
      <c r="AG92"/>
      <c r="AH92" s="171">
        <v>0.92</v>
      </c>
      <c r="AK92" s="224"/>
      <c r="AN92" s="228"/>
      <c r="AO92" s="229"/>
      <c r="AP92" s="230"/>
      <c r="AQ92" s="1"/>
      <c r="AT92" s="189"/>
      <c r="AU92" s="220"/>
      <c r="AW92" s="220"/>
      <c r="AY92"/>
      <c r="AZ92"/>
      <c r="BA92"/>
      <c r="BB92"/>
    </row>
    <row r="93" spans="1:54" s="4" customFormat="1" ht="14.25" x14ac:dyDescent="0.2">
      <c r="A93" s="222"/>
      <c r="D93" s="16"/>
      <c r="E93" s="16"/>
      <c r="F93"/>
      <c r="G93"/>
      <c r="H93" s="1" t="s">
        <v>0</v>
      </c>
      <c r="I93"/>
      <c r="J93">
        <v>8</v>
      </c>
      <c r="K93"/>
      <c r="L93"/>
      <c r="M93"/>
      <c r="N93"/>
      <c r="O93"/>
      <c r="Q93" s="166"/>
      <c r="R93" s="2"/>
      <c r="S93"/>
      <c r="T93" s="6"/>
      <c r="U93" s="155"/>
      <c r="V93" s="155"/>
      <c r="W93"/>
      <c r="X93"/>
      <c r="Y93"/>
      <c r="Z93"/>
      <c r="AB93" s="220"/>
      <c r="AC93" s="155"/>
      <c r="AD93" s="155"/>
      <c r="AE93"/>
      <c r="AF93"/>
      <c r="AG93"/>
      <c r="AH93" s="171">
        <v>0.91</v>
      </c>
      <c r="AK93" s="224"/>
      <c r="AN93" s="1"/>
      <c r="AO93"/>
      <c r="AP93"/>
      <c r="AQ93" s="1"/>
      <c r="AT93" s="189"/>
      <c r="AU93" s="220"/>
      <c r="AW93" s="220"/>
      <c r="AY93"/>
      <c r="AZ93"/>
      <c r="BA93"/>
      <c r="BB93"/>
    </row>
    <row r="94" spans="1:54" s="4" customFormat="1" ht="14.25" x14ac:dyDescent="0.2">
      <c r="A94" s="222"/>
      <c r="D94" s="16"/>
      <c r="E94" s="16"/>
      <c r="F94"/>
      <c r="G94"/>
      <c r="H94" s="1" t="s">
        <v>192</v>
      </c>
      <c r="I94"/>
      <c r="J94">
        <v>3</v>
      </c>
      <c r="K94"/>
      <c r="L94"/>
      <c r="M94"/>
      <c r="N94"/>
      <c r="O94"/>
      <c r="Q94" s="166"/>
      <c r="R94" s="2"/>
      <c r="S94"/>
      <c r="T94" s="6"/>
      <c r="U94" s="155"/>
      <c r="V94" s="155"/>
      <c r="W94"/>
      <c r="X94"/>
      <c r="Y94"/>
      <c r="Z94"/>
      <c r="AB94" s="220"/>
      <c r="AC94" s="155"/>
      <c r="AD94" s="155"/>
      <c r="AE94"/>
      <c r="AF94"/>
      <c r="AG94"/>
      <c r="AH94" s="171">
        <v>0.9</v>
      </c>
      <c r="AT94" s="189"/>
      <c r="AU94" s="220"/>
      <c r="AW94" s="220"/>
      <c r="AY94"/>
      <c r="AZ94"/>
      <c r="BA94"/>
      <c r="BB94"/>
    </row>
    <row r="95" spans="1:54" s="4" customFormat="1" x14ac:dyDescent="0.2">
      <c r="A95" s="222"/>
      <c r="I95"/>
      <c r="J95" s="26"/>
      <c r="K95" s="26"/>
      <c r="L95" s="120"/>
      <c r="M95" s="120"/>
      <c r="N95" s="120"/>
      <c r="O95"/>
      <c r="Q95" s="166"/>
      <c r="R95" s="2"/>
      <c r="S95"/>
      <c r="T95" s="6"/>
      <c r="U95" s="155"/>
      <c r="V95" s="155"/>
      <c r="W95"/>
      <c r="X95"/>
      <c r="Y95"/>
      <c r="Z95"/>
      <c r="AB95" s="220"/>
      <c r="AC95" s="155"/>
      <c r="AD95" s="155"/>
      <c r="AE95"/>
      <c r="AF95"/>
      <c r="AG95"/>
      <c r="AH95" s="171">
        <v>0.89</v>
      </c>
      <c r="AT95" s="189"/>
      <c r="AU95" s="220"/>
      <c r="AW95" s="220"/>
      <c r="AY95"/>
      <c r="AZ95"/>
      <c r="BA95"/>
      <c r="BB95"/>
    </row>
    <row r="96" spans="1:54" s="4" customFormat="1" x14ac:dyDescent="0.2">
      <c r="A96" s="222"/>
      <c r="H96" s="1" t="s">
        <v>216</v>
      </c>
      <c r="I96"/>
      <c r="J96"/>
      <c r="K96"/>
      <c r="L96"/>
      <c r="M96"/>
      <c r="N96"/>
      <c r="O96"/>
      <c r="Q96" s="166"/>
      <c r="R96" s="2"/>
      <c r="S96"/>
      <c r="T96" s="6"/>
      <c r="U96" s="155"/>
      <c r="V96" s="155"/>
      <c r="W96"/>
      <c r="X96"/>
      <c r="Y96"/>
      <c r="Z96"/>
      <c r="AB96" s="220"/>
      <c r="AC96" s="155"/>
      <c r="AD96" s="155"/>
      <c r="AE96"/>
      <c r="AF96"/>
      <c r="AG96"/>
      <c r="AH96" s="171">
        <v>0.88</v>
      </c>
      <c r="AK96" s="246" t="s">
        <v>176</v>
      </c>
      <c r="AT96" s="189"/>
      <c r="AU96" s="220"/>
      <c r="AW96" s="220"/>
      <c r="AY96"/>
      <c r="AZ96"/>
      <c r="BA96"/>
      <c r="BB96"/>
    </row>
    <row r="97" spans="1:54" s="4" customFormat="1" x14ac:dyDescent="0.2">
      <c r="A97" s="222"/>
      <c r="H97" s="1" t="s">
        <v>217</v>
      </c>
      <c r="J97" s="281">
        <v>0.9</v>
      </c>
      <c r="K97" s="5"/>
      <c r="L97" s="46"/>
      <c r="M97" s="46"/>
      <c r="N97" s="5"/>
      <c r="O97" s="5"/>
      <c r="Q97" s="166"/>
      <c r="R97" s="2"/>
      <c r="S97"/>
      <c r="T97" s="6"/>
      <c r="U97" s="155"/>
      <c r="V97" s="155"/>
      <c r="W97"/>
      <c r="X97"/>
      <c r="Y97"/>
      <c r="Z97"/>
      <c r="AB97" s="220"/>
      <c r="AC97" s="155"/>
      <c r="AD97" s="155"/>
      <c r="AE97"/>
      <c r="AF97"/>
      <c r="AG97"/>
      <c r="AH97" s="171">
        <v>0.87</v>
      </c>
      <c r="AK97" s="246" t="s">
        <v>0</v>
      </c>
      <c r="AR97" s="1"/>
      <c r="AT97" s="189"/>
      <c r="AU97" s="220"/>
      <c r="AW97" s="220"/>
      <c r="AY97"/>
      <c r="AZ97"/>
      <c r="BA97"/>
      <c r="BB97"/>
    </row>
    <row r="98" spans="1:54" s="4" customFormat="1" x14ac:dyDescent="0.2">
      <c r="A98" s="222"/>
      <c r="J98" s="5"/>
      <c r="K98" s="5"/>
      <c r="L98" s="46"/>
      <c r="M98" s="46"/>
      <c r="N98" s="5"/>
      <c r="O98" s="5"/>
      <c r="Q98" s="166"/>
      <c r="R98" s="2"/>
      <c r="S98"/>
      <c r="T98" s="6"/>
      <c r="U98" s="155"/>
      <c r="V98" s="155"/>
      <c r="W98"/>
      <c r="X98"/>
      <c r="Y98"/>
      <c r="Z98"/>
      <c r="AB98" s="220"/>
      <c r="AC98" s="155"/>
      <c r="AD98" s="155"/>
      <c r="AE98"/>
      <c r="AF98"/>
      <c r="AG98"/>
      <c r="AH98" s="171">
        <v>0.86</v>
      </c>
      <c r="AK98" s="224">
        <v>0.55000000000000004</v>
      </c>
      <c r="AT98" s="189"/>
      <c r="AU98" s="220"/>
      <c r="AW98" s="220"/>
      <c r="AY98"/>
      <c r="AZ98"/>
      <c r="BA98"/>
      <c r="BB98"/>
    </row>
    <row r="99" spans="1:54" s="4" customFormat="1" x14ac:dyDescent="0.2">
      <c r="A99" s="222"/>
      <c r="J99" s="5"/>
      <c r="K99" s="5"/>
      <c r="L99" s="46"/>
      <c r="M99" s="46"/>
      <c r="N99" s="5"/>
      <c r="O99" s="5"/>
      <c r="Q99" s="166"/>
      <c r="R99" s="2"/>
      <c r="S99"/>
      <c r="T99" s="6"/>
      <c r="U99" s="155"/>
      <c r="V99" s="155"/>
      <c r="W99"/>
      <c r="X99"/>
      <c r="Y99"/>
      <c r="Z99"/>
      <c r="AB99" s="220"/>
      <c r="AC99" s="155"/>
      <c r="AD99" s="155"/>
      <c r="AE99"/>
      <c r="AF99"/>
      <c r="AG99"/>
      <c r="AH99" s="171">
        <v>0.85</v>
      </c>
      <c r="AK99" s="224">
        <v>0.6</v>
      </c>
      <c r="AN99" s="228"/>
      <c r="AO99" s="229"/>
      <c r="AP99" s="230"/>
      <c r="AQ99" s="1"/>
      <c r="AT99" s="189"/>
      <c r="AU99" s="220"/>
      <c r="AW99" s="220"/>
      <c r="AY99"/>
      <c r="AZ99"/>
      <c r="BA99"/>
      <c r="BB99"/>
    </row>
    <row r="100" spans="1:54" s="4" customFormat="1" x14ac:dyDescent="0.2">
      <c r="A100" s="222"/>
      <c r="H100" s="1" t="s">
        <v>225</v>
      </c>
      <c r="J100" s="280"/>
      <c r="K100" s="5"/>
      <c r="L100" s="46"/>
      <c r="M100" s="46"/>
      <c r="N100" s="5"/>
      <c r="O100" s="5"/>
      <c r="Q100" s="166"/>
      <c r="R100" s="2"/>
      <c r="S100"/>
      <c r="T100" s="6"/>
      <c r="U100" s="155"/>
      <c r="V100" s="155"/>
      <c r="W100"/>
      <c r="X100"/>
      <c r="Y100"/>
      <c r="Z100"/>
      <c r="AB100" s="220"/>
      <c r="AC100" s="155"/>
      <c r="AD100" s="155"/>
      <c r="AE100"/>
      <c r="AF100"/>
      <c r="AG100"/>
      <c r="AH100" s="171">
        <v>0.84</v>
      </c>
      <c r="AK100" s="246" t="s">
        <v>192</v>
      </c>
      <c r="AN100" s="228"/>
      <c r="AO100" s="229"/>
      <c r="AP100" s="230"/>
      <c r="AQ100" s="1"/>
      <c r="AT100" s="189"/>
      <c r="AU100" s="220"/>
      <c r="AW100" s="220"/>
      <c r="AY100"/>
      <c r="AZ100"/>
      <c r="BA100"/>
      <c r="BB100"/>
    </row>
    <row r="101" spans="1:54" s="4" customFormat="1" x14ac:dyDescent="0.2">
      <c r="A101" s="222"/>
      <c r="H101" s="1" t="s">
        <v>226</v>
      </c>
      <c r="J101" s="281">
        <v>0.65</v>
      </c>
      <c r="K101" s="5"/>
      <c r="L101" s="46"/>
      <c r="M101" s="46"/>
      <c r="N101" s="5"/>
      <c r="O101" s="5"/>
      <c r="Q101" s="166"/>
      <c r="R101" s="30"/>
      <c r="S101"/>
      <c r="T101"/>
      <c r="U101" s="1"/>
      <c r="V101"/>
      <c r="W101"/>
      <c r="X101"/>
      <c r="Y101"/>
      <c r="Z101"/>
      <c r="AB101" s="220"/>
      <c r="AC101" s="155"/>
      <c r="AD101" s="155"/>
      <c r="AE101"/>
      <c r="AF101"/>
      <c r="AG101"/>
      <c r="AH101" s="171">
        <v>0.83</v>
      </c>
      <c r="AK101" s="224">
        <v>0.6</v>
      </c>
      <c r="AN101" s="228"/>
      <c r="AO101" s="229"/>
      <c r="AP101" s="230"/>
      <c r="AQ101" s="1"/>
      <c r="AT101" s="189"/>
      <c r="AU101" s="220"/>
      <c r="AW101" s="220"/>
      <c r="AY101"/>
      <c r="AZ101"/>
      <c r="BA101"/>
      <c r="BB101"/>
    </row>
    <row r="102" spans="1:54" s="4" customFormat="1" x14ac:dyDescent="0.2">
      <c r="A102" s="222"/>
      <c r="J102" s="17"/>
      <c r="K102" s="17"/>
      <c r="L102" s="17"/>
      <c r="M102" s="17"/>
      <c r="N102" s="17"/>
      <c r="Q102" s="166"/>
      <c r="R102"/>
      <c r="S102" s="30"/>
      <c r="T102" s="30"/>
      <c r="U102" s="1"/>
      <c r="V102"/>
      <c r="W102"/>
      <c r="X102"/>
      <c r="Y102"/>
      <c r="Z102"/>
      <c r="AB102" s="220"/>
      <c r="AC102" s="155"/>
      <c r="AD102" s="155"/>
      <c r="AE102"/>
      <c r="AF102"/>
      <c r="AG102"/>
      <c r="AH102" s="171">
        <v>0.82</v>
      </c>
      <c r="AK102" s="224">
        <v>0.65</v>
      </c>
      <c r="AQ102"/>
      <c r="AT102" s="189"/>
      <c r="AU102" s="220"/>
      <c r="AW102" s="220"/>
      <c r="AY102"/>
      <c r="AZ102"/>
      <c r="BA102"/>
      <c r="BB102"/>
    </row>
    <row r="103" spans="1:54" s="4" customFormat="1" x14ac:dyDescent="0.2">
      <c r="A103" s="222"/>
      <c r="H103" s="1" t="s">
        <v>232</v>
      </c>
      <c r="J103" s="17"/>
      <c r="K103" s="17"/>
      <c r="L103" s="17"/>
      <c r="M103" s="17"/>
      <c r="N103" s="17"/>
      <c r="Q103" s="166"/>
      <c r="R103" s="1"/>
      <c r="U103" s="1"/>
      <c r="V103"/>
      <c r="W103"/>
      <c r="X103"/>
      <c r="Y103"/>
      <c r="Z103"/>
      <c r="AB103" s="220"/>
      <c r="AC103" s="155"/>
      <c r="AD103" s="155"/>
      <c r="AE103"/>
      <c r="AF103"/>
      <c r="AG103"/>
      <c r="AH103" s="171">
        <v>0.81</v>
      </c>
      <c r="AN103"/>
      <c r="AO103"/>
      <c r="AP103"/>
      <c r="AQ103"/>
      <c r="AT103" s="189"/>
      <c r="AU103" s="220"/>
      <c r="AW103" s="220"/>
      <c r="AY103"/>
      <c r="AZ103"/>
      <c r="BA103"/>
      <c r="BB103"/>
    </row>
    <row r="104" spans="1:54" s="4" customFormat="1" x14ac:dyDescent="0.2">
      <c r="A104" s="222"/>
      <c r="H104" s="1" t="s">
        <v>233</v>
      </c>
      <c r="J104" s="323">
        <v>20</v>
      </c>
      <c r="L104" s="17"/>
      <c r="M104" s="17"/>
      <c r="N104" s="17"/>
      <c r="Q104" s="166"/>
      <c r="R104" s="228"/>
      <c r="V104"/>
      <c r="W104"/>
      <c r="X104"/>
      <c r="Y104"/>
      <c r="Z104"/>
      <c r="AB104" s="220"/>
      <c r="AC104" s="155"/>
      <c r="AD104" s="155"/>
      <c r="AE104"/>
      <c r="AF104"/>
      <c r="AG104"/>
      <c r="AH104" s="171">
        <v>0.8</v>
      </c>
      <c r="AN104" s="30"/>
      <c r="AO104" s="1"/>
      <c r="AP104"/>
      <c r="AQ104"/>
      <c r="AT104" s="189"/>
      <c r="AU104" s="220"/>
      <c r="AW104" s="220"/>
      <c r="AY104"/>
      <c r="AZ104"/>
      <c r="BA104"/>
      <c r="BB104"/>
    </row>
    <row r="105" spans="1:54" s="4" customFormat="1" x14ac:dyDescent="0.2">
      <c r="A105" s="222"/>
      <c r="H105" s="1" t="s">
        <v>234</v>
      </c>
      <c r="J105" s="323">
        <v>25</v>
      </c>
      <c r="L105" s="17"/>
      <c r="M105" s="17"/>
      <c r="N105" s="17"/>
      <c r="Q105" s="166"/>
      <c r="R105" s="1"/>
      <c r="S105" s="231"/>
      <c r="T105" s="231"/>
      <c r="U105" s="1"/>
      <c r="V105"/>
      <c r="W105"/>
      <c r="X105"/>
      <c r="Y105"/>
      <c r="Z105"/>
      <c r="AB105" s="220"/>
      <c r="AC105" s="155"/>
      <c r="AD105" s="155"/>
      <c r="AE105"/>
      <c r="AF105"/>
      <c r="AG105"/>
      <c r="AH105" s="171">
        <v>0.79</v>
      </c>
      <c r="AQ105"/>
      <c r="AT105" s="189"/>
      <c r="AU105" s="220"/>
      <c r="AW105" s="220"/>
      <c r="AY105"/>
      <c r="AZ105"/>
      <c r="BA105"/>
      <c r="BB105"/>
    </row>
    <row r="106" spans="1:54" s="4" customFormat="1" x14ac:dyDescent="0.2">
      <c r="A106" s="222"/>
      <c r="H106" s="1" t="s">
        <v>209</v>
      </c>
      <c r="J106" s="324">
        <v>10</v>
      </c>
      <c r="L106" s="17"/>
      <c r="M106" s="17"/>
      <c r="N106" s="17"/>
      <c r="Q106" s="166"/>
      <c r="R106" s="2"/>
      <c r="S106"/>
      <c r="T106" s="6"/>
      <c r="U106"/>
      <c r="V106"/>
      <c r="W106"/>
      <c r="X106"/>
      <c r="Y106"/>
      <c r="Z106"/>
      <c r="AB106" s="220"/>
      <c r="AC106" s="155"/>
      <c r="AD106" s="155"/>
      <c r="AE106"/>
      <c r="AF106"/>
      <c r="AG106"/>
      <c r="AH106" s="171">
        <v>0.78</v>
      </c>
      <c r="AR106"/>
      <c r="AS106"/>
      <c r="AT106" s="189"/>
      <c r="AU106" s="220"/>
      <c r="AW106" s="220"/>
      <c r="AY106"/>
      <c r="AZ106"/>
      <c r="BA106"/>
      <c r="BB106"/>
    </row>
    <row r="107" spans="1:54" s="4" customFormat="1" ht="14.25" x14ac:dyDescent="0.2">
      <c r="A107" s="222"/>
      <c r="C107" s="6"/>
      <c r="D107" s="6"/>
      <c r="E107" s="6"/>
      <c r="L107" s="17"/>
      <c r="M107" s="17"/>
      <c r="N107" s="17"/>
      <c r="Q107" s="166"/>
      <c r="R107" s="2"/>
      <c r="S107"/>
      <c r="T107" s="6"/>
      <c r="U107"/>
      <c r="V107"/>
      <c r="W107"/>
      <c r="X107"/>
      <c r="Y107"/>
      <c r="Z107"/>
      <c r="AB107" s="220"/>
      <c r="AC107" s="155"/>
      <c r="AD107" s="155"/>
      <c r="AE107"/>
      <c r="AF107"/>
      <c r="AG107"/>
      <c r="AH107" s="171">
        <v>0.77</v>
      </c>
      <c r="AN107" s="1"/>
      <c r="AO107" s="275"/>
      <c r="AP107" s="270"/>
      <c r="AQ107"/>
      <c r="AR107"/>
      <c r="AS107"/>
      <c r="AT107" s="189"/>
      <c r="AU107" s="220"/>
      <c r="AW107" s="220"/>
      <c r="AY107"/>
      <c r="AZ107"/>
      <c r="BA107"/>
      <c r="BB107"/>
    </row>
    <row r="108" spans="1:54" s="4" customFormat="1" x14ac:dyDescent="0.2">
      <c r="A108" s="222"/>
      <c r="C108" s="6"/>
      <c r="D108" s="6"/>
      <c r="E108" s="6"/>
      <c r="L108" s="17"/>
      <c r="M108" s="17"/>
      <c r="N108" s="17"/>
      <c r="Q108" s="166"/>
      <c r="R108" s="2"/>
      <c r="S108"/>
      <c r="T108" s="6"/>
      <c r="U108"/>
      <c r="V108"/>
      <c r="W108"/>
      <c r="X108"/>
      <c r="Y108"/>
      <c r="Z108"/>
      <c r="AB108" s="220"/>
      <c r="AC108" s="155"/>
      <c r="AD108" s="155"/>
      <c r="AE108"/>
      <c r="AF108"/>
      <c r="AG108"/>
      <c r="AH108" s="171">
        <v>0.76</v>
      </c>
      <c r="AR108" s="226"/>
      <c r="AS108" s="226"/>
      <c r="AT108" s="189"/>
      <c r="AU108" s="220"/>
      <c r="AW108" s="220"/>
      <c r="AY108"/>
      <c r="AZ108"/>
      <c r="BA108"/>
      <c r="BB108"/>
    </row>
    <row r="109" spans="1:54" s="4" customFormat="1" x14ac:dyDescent="0.2">
      <c r="A109" s="222"/>
      <c r="C109" s="6"/>
      <c r="D109" s="6"/>
      <c r="E109" s="6"/>
      <c r="F109" s="233"/>
      <c r="G109" s="233"/>
      <c r="H109" s="37"/>
      <c r="J109" s="17"/>
      <c r="K109" s="17"/>
      <c r="L109" s="17"/>
      <c r="M109" s="17"/>
      <c r="N109" s="17"/>
      <c r="Q109" s="166"/>
      <c r="R109" s="2"/>
      <c r="S109"/>
      <c r="T109" s="6"/>
      <c r="U109"/>
      <c r="V109"/>
      <c r="W109"/>
      <c r="X109"/>
      <c r="Y109"/>
      <c r="Z109"/>
      <c r="AB109" s="220"/>
      <c r="AC109" s="155"/>
      <c r="AD109" s="155"/>
      <c r="AE109"/>
      <c r="AF109"/>
      <c r="AG109"/>
      <c r="AH109" s="171">
        <v>0.75</v>
      </c>
      <c r="AN109" s="226"/>
      <c r="AO109" s="234"/>
      <c r="AP109" s="227"/>
      <c r="AQ109" s="226"/>
      <c r="AR109" s="226"/>
      <c r="AS109" s="226"/>
      <c r="AT109" s="189"/>
      <c r="AU109" s="220"/>
      <c r="AW109" s="220"/>
      <c r="AY109"/>
      <c r="AZ109"/>
      <c r="BA109"/>
      <c r="BB109"/>
    </row>
    <row r="110" spans="1:54" s="4" customFormat="1" x14ac:dyDescent="0.2">
      <c r="A110" s="222"/>
      <c r="C110" s="6"/>
      <c r="D110" s="6"/>
      <c r="E110" s="6"/>
      <c r="F110" s="233"/>
      <c r="G110" s="233"/>
      <c r="H110" s="37"/>
      <c r="J110" s="17"/>
      <c r="K110" s="17"/>
      <c r="L110" s="17"/>
      <c r="M110" s="17"/>
      <c r="N110" s="17"/>
      <c r="Q110" s="166"/>
      <c r="R110" s="2"/>
      <c r="S110"/>
      <c r="T110" s="6"/>
      <c r="U110"/>
      <c r="V110"/>
      <c r="W110"/>
      <c r="X110"/>
      <c r="Y110"/>
      <c r="Z110"/>
      <c r="AB110" s="220"/>
      <c r="AC110"/>
      <c r="AD110"/>
      <c r="AE110"/>
      <c r="AF110"/>
      <c r="AG110"/>
      <c r="AH110" s="171">
        <v>0.74</v>
      </c>
      <c r="AN110" s="220"/>
      <c r="AO110" s="165" t="s">
        <v>0</v>
      </c>
      <c r="AP110" s="1" t="s">
        <v>192</v>
      </c>
      <c r="AQ110" s="226"/>
      <c r="AR110" s="226"/>
      <c r="AS110" s="226"/>
      <c r="AT110" s="189"/>
      <c r="AU110" s="220"/>
      <c r="AW110" s="220"/>
      <c r="AY110"/>
      <c r="AZ110"/>
      <c r="BA110"/>
      <c r="BB110"/>
    </row>
    <row r="111" spans="1:54" s="4" customFormat="1" x14ac:dyDescent="0.2">
      <c r="A111" s="222"/>
      <c r="C111" s="6"/>
      <c r="D111" s="6"/>
      <c r="E111" s="6"/>
      <c r="F111" s="233"/>
      <c r="G111" s="233"/>
      <c r="H111" s="37"/>
      <c r="J111" s="17"/>
      <c r="K111" s="17"/>
      <c r="L111" s="17"/>
      <c r="M111" s="17"/>
      <c r="N111" s="17"/>
      <c r="Q111" s="166"/>
      <c r="R111" s="2"/>
      <c r="S111"/>
      <c r="T111" s="6"/>
      <c r="U111"/>
      <c r="V111"/>
      <c r="W111"/>
      <c r="X111"/>
      <c r="Y111"/>
      <c r="Z111"/>
      <c r="AB111" s="220"/>
      <c r="AC111"/>
      <c r="AD111"/>
      <c r="AE111"/>
      <c r="AF111"/>
      <c r="AG111"/>
      <c r="AH111" s="171">
        <v>0.73</v>
      </c>
      <c r="AN111" s="30" t="s">
        <v>198</v>
      </c>
      <c r="AO111" s="232">
        <f ca="1">DATE(YEAR(F16)-RMAData!$L$5,MONTH(F16),DAY(F16))</f>
        <v>41072</v>
      </c>
      <c r="AP111" s="232">
        <f ca="1">DATE(YEAR(H16)-RMAData!$L$5,MONTH(H16),DAY(H16))</f>
        <v>41072</v>
      </c>
      <c r="AQ111" s="226"/>
      <c r="AR111" s="226"/>
      <c r="AS111" s="226"/>
      <c r="AT111" s="189"/>
      <c r="AU111" s="220"/>
      <c r="AW111" s="220"/>
      <c r="AY111"/>
      <c r="AZ111"/>
      <c r="BA111"/>
      <c r="BB111"/>
    </row>
    <row r="112" spans="1:54" s="4" customFormat="1" x14ac:dyDescent="0.2">
      <c r="A112" s="222"/>
      <c r="C112" s="6"/>
      <c r="D112" s="6"/>
      <c r="E112" s="6"/>
      <c r="F112" s="233"/>
      <c r="G112" s="233"/>
      <c r="H112" s="37"/>
      <c r="J112" s="17"/>
      <c r="K112" s="17"/>
      <c r="L112" s="17"/>
      <c r="M112" s="17"/>
      <c r="N112" s="17"/>
      <c r="S112"/>
      <c r="T112" s="6"/>
      <c r="U112"/>
      <c r="V112"/>
      <c r="W112"/>
      <c r="X112"/>
      <c r="Y112"/>
      <c r="Z112"/>
      <c r="AB112" s="220"/>
      <c r="AC112"/>
      <c r="AD112"/>
      <c r="AE112"/>
      <c r="AF112"/>
      <c r="AG112"/>
      <c r="AH112" s="171">
        <v>0.72</v>
      </c>
      <c r="AN112" s="235" t="s">
        <v>200</v>
      </c>
      <c r="AO112" s="227"/>
      <c r="AP112" s="227"/>
      <c r="AQ112" s="226"/>
      <c r="AR112" s="226"/>
      <c r="AS112" s="226"/>
      <c r="AT112" s="189"/>
      <c r="AU112" s="220"/>
      <c r="AW112" s="220"/>
      <c r="AY112"/>
      <c r="AZ112"/>
      <c r="BA112"/>
      <c r="BB112"/>
    </row>
    <row r="113" spans="1:54" s="4" customFormat="1" x14ac:dyDescent="0.2">
      <c r="A113" s="222"/>
      <c r="C113" s="6"/>
      <c r="D113" s="6"/>
      <c r="E113" s="6"/>
      <c r="F113" s="233"/>
      <c r="G113" s="233"/>
      <c r="H113" s="37"/>
      <c r="J113" s="17"/>
      <c r="K113" s="17"/>
      <c r="L113" s="17"/>
      <c r="M113" s="17"/>
      <c r="N113" s="17"/>
      <c r="S113"/>
      <c r="T113" s="6"/>
      <c r="U113"/>
      <c r="V113"/>
      <c r="W113"/>
      <c r="X113"/>
      <c r="Y113"/>
      <c r="Z113"/>
      <c r="AB113" s="220"/>
      <c r="AC113"/>
      <c r="AD113"/>
      <c r="AE113"/>
      <c r="AF113"/>
      <c r="AG113"/>
      <c r="AH113" s="171">
        <v>0.71</v>
      </c>
      <c r="AN113" s="6"/>
      <c r="AO113" s="165" t="s">
        <v>27</v>
      </c>
      <c r="AP113" s="233"/>
      <c r="AQ113" s="128" t="s">
        <v>29</v>
      </c>
      <c r="AS113" s="37"/>
      <c r="AT113" s="189"/>
      <c r="AU113" s="220"/>
      <c r="AW113" s="220"/>
      <c r="AY113"/>
      <c r="AZ113"/>
      <c r="BA113"/>
      <c r="BB113"/>
    </row>
    <row r="114" spans="1:54" s="4" customFormat="1" x14ac:dyDescent="0.2">
      <c r="A114" s="222"/>
      <c r="C114" s="6"/>
      <c r="D114" s="6"/>
      <c r="E114" s="6"/>
      <c r="F114" s="233"/>
      <c r="G114" s="233"/>
      <c r="H114" s="37"/>
      <c r="J114" s="17"/>
      <c r="K114" s="17"/>
      <c r="L114" s="17"/>
      <c r="M114" s="17"/>
      <c r="N114" s="17"/>
      <c r="S114"/>
      <c r="T114" s="6"/>
      <c r="U114"/>
      <c r="V114"/>
      <c r="W114"/>
      <c r="X114"/>
      <c r="Y114"/>
      <c r="Z114"/>
      <c r="AB114" s="220"/>
      <c r="AC114"/>
      <c r="AD114"/>
      <c r="AE114"/>
      <c r="AF114"/>
      <c r="AG114"/>
      <c r="AH114" s="171">
        <v>0.7</v>
      </c>
      <c r="AN114" s="165" t="s">
        <v>199</v>
      </c>
      <c r="AO114" s="1" t="s">
        <v>0</v>
      </c>
      <c r="AP114" s="1" t="s">
        <v>192</v>
      </c>
      <c r="AQ114" s="1" t="s">
        <v>0</v>
      </c>
      <c r="AR114" s="1" t="s">
        <v>192</v>
      </c>
      <c r="AT114" s="189"/>
      <c r="AU114" s="220"/>
      <c r="AW114" s="220"/>
      <c r="AY114"/>
      <c r="AZ114"/>
      <c r="BA114"/>
      <c r="BB114"/>
    </row>
    <row r="115" spans="1:54" x14ac:dyDescent="0.2">
      <c r="C115" s="220"/>
      <c r="D115" s="220"/>
      <c r="E115" s="220"/>
      <c r="T115" s="6"/>
      <c r="AB115" s="220"/>
      <c r="AH115" s="171">
        <v>0.69</v>
      </c>
      <c r="AN115" s="165" t="s">
        <v>189</v>
      </c>
      <c r="AO115" s="236">
        <v>-6358381.1318135969</v>
      </c>
      <c r="AP115" s="236">
        <v>-17181786.020406116</v>
      </c>
      <c r="AQ115" s="236">
        <v>-10434114.083420666</v>
      </c>
      <c r="AR115" s="236">
        <v>-14710355.179590281</v>
      </c>
      <c r="AT115" s="189"/>
      <c r="AU115" s="220"/>
      <c r="AW115" s="220"/>
    </row>
    <row r="116" spans="1:54" x14ac:dyDescent="0.2">
      <c r="T116" s="6"/>
      <c r="AB116" s="220"/>
      <c r="AH116" s="171">
        <v>0.68</v>
      </c>
      <c r="AN116" s="165" t="s">
        <v>190</v>
      </c>
      <c r="AO116" s="236">
        <v>310.3880303028069</v>
      </c>
      <c r="AP116" s="236">
        <v>837.43741496588643</v>
      </c>
      <c r="AQ116" s="236">
        <v>509.25824175844087</v>
      </c>
      <c r="AR116" s="236">
        <v>716.93910018545284</v>
      </c>
      <c r="AT116" s="189"/>
      <c r="AU116" s="220"/>
      <c r="AW116" s="220"/>
    </row>
    <row r="117" spans="1:54" ht="13.5" thickBot="1" x14ac:dyDescent="0.25">
      <c r="T117" s="6"/>
      <c r="AB117" s="220"/>
      <c r="AH117" s="171">
        <v>0.67</v>
      </c>
      <c r="AN117" s="165" t="s">
        <v>191</v>
      </c>
      <c r="AO117" s="237">
        <v>-3.7878787878760675E-3</v>
      </c>
      <c r="AP117" s="237">
        <v>-1.0204081632651843E-2</v>
      </c>
      <c r="AQ117" s="237">
        <v>-6.2137862137886402E-3</v>
      </c>
      <c r="AR117" s="237">
        <v>-8.7353123067399532E-3</v>
      </c>
      <c r="AT117" s="189"/>
      <c r="AU117" s="220"/>
      <c r="AW117" s="220"/>
    </row>
    <row r="118" spans="1:54" x14ac:dyDescent="0.2">
      <c r="T118" s="6"/>
      <c r="AB118" s="220"/>
      <c r="AH118" s="171">
        <v>0.66</v>
      </c>
      <c r="AN118" s="165" t="s">
        <v>193</v>
      </c>
      <c r="AO118" s="171">
        <f ca="1">MAX(0,(AO115+$AO$111*AO116+$AO$111^2*AO117)/100)</f>
        <v>0.6853363636136055</v>
      </c>
      <c r="AP118" s="171">
        <f ca="1">MAX(0,(AP115+$AP$111*AP116+$AP$111^2*AP117)/100)</f>
        <v>0.84466666661202905</v>
      </c>
      <c r="AQ118" s="171">
        <f ca="1">MAX(0,(AQ115+$AO$111*AQ116+$AO$111^2*AQ117)/100)</f>
        <v>0.47390629371628168</v>
      </c>
      <c r="AR118" s="171">
        <f ca="1">MAX(0,(AR115+$AP$111*AR116+$AP$111^2*AR117)/100)</f>
        <v>0.88987878784537311</v>
      </c>
      <c r="AT118" s="189"/>
      <c r="AU118" s="220"/>
      <c r="AW118" s="220"/>
    </row>
    <row r="119" spans="1:54" x14ac:dyDescent="0.2">
      <c r="T119" s="6"/>
      <c r="AB119" s="220"/>
      <c r="AH119" s="171">
        <v>0.65</v>
      </c>
      <c r="AO119" s="274"/>
      <c r="AQ119" s="236"/>
      <c r="AT119" s="189"/>
      <c r="AU119" s="220"/>
      <c r="AW119" s="220"/>
    </row>
    <row r="120" spans="1:54" x14ac:dyDescent="0.2">
      <c r="T120" s="6"/>
      <c r="AB120" s="220"/>
      <c r="AH120" s="171">
        <v>0.64</v>
      </c>
      <c r="AT120" s="189"/>
      <c r="AU120" s="220"/>
      <c r="AW120" s="220"/>
    </row>
    <row r="121" spans="1:54" x14ac:dyDescent="0.2">
      <c r="T121" s="6"/>
      <c r="AB121" s="220"/>
      <c r="AH121" s="171">
        <v>0.63</v>
      </c>
      <c r="AN121" s="165"/>
      <c r="AT121" s="189"/>
      <c r="AU121" s="220"/>
      <c r="AW121" s="220"/>
    </row>
    <row r="122" spans="1:54" x14ac:dyDescent="0.2">
      <c r="T122" s="6"/>
      <c r="AB122" s="220"/>
      <c r="AH122" s="171">
        <v>0.62</v>
      </c>
      <c r="AN122" s="165"/>
      <c r="AO122" s="238"/>
      <c r="AP122" s="238"/>
      <c r="AQ122" s="238"/>
      <c r="AR122" s="238"/>
      <c r="AT122" s="189"/>
      <c r="AU122" s="220"/>
      <c r="AW122" s="220"/>
    </row>
    <row r="123" spans="1:54" x14ac:dyDescent="0.2">
      <c r="T123" s="6"/>
      <c r="AB123" s="220"/>
      <c r="AH123" s="171">
        <v>0.61</v>
      </c>
      <c r="AN123" s="165"/>
      <c r="AO123" s="238"/>
      <c r="AP123" s="238"/>
      <c r="AQ123" s="238"/>
      <c r="AR123" s="238"/>
      <c r="AT123" s="189"/>
      <c r="AU123" s="220"/>
      <c r="AW123" s="220"/>
    </row>
    <row r="124" spans="1:54" x14ac:dyDescent="0.2">
      <c r="T124" s="6"/>
      <c r="AB124" s="220"/>
      <c r="AH124" s="171">
        <v>0.6</v>
      </c>
      <c r="AN124" s="165"/>
      <c r="AO124" s="238"/>
      <c r="AP124" s="238"/>
      <c r="AQ124" s="238"/>
      <c r="AR124" s="238"/>
      <c r="AT124" s="189"/>
      <c r="AU124" s="220"/>
      <c r="AW124" s="220"/>
    </row>
    <row r="125" spans="1:54" x14ac:dyDescent="0.2">
      <c r="T125" s="6"/>
      <c r="AB125" s="220"/>
      <c r="AN125" s="165"/>
      <c r="AO125" s="238"/>
      <c r="AP125" s="238"/>
      <c r="AQ125" s="238"/>
      <c r="AR125" s="238"/>
      <c r="AT125" s="189"/>
      <c r="AU125" s="220"/>
      <c r="AW125" s="220"/>
    </row>
    <row r="126" spans="1:54" x14ac:dyDescent="0.2">
      <c r="T126" s="6"/>
      <c r="AB126" s="220"/>
      <c r="AT126" s="189"/>
      <c r="AU126" s="220"/>
      <c r="AW126" s="220"/>
    </row>
    <row r="127" spans="1:54" x14ac:dyDescent="0.2">
      <c r="T127" s="6"/>
      <c r="AB127" s="220"/>
      <c r="AT127" s="189"/>
      <c r="AU127" s="220"/>
      <c r="AW127" s="220"/>
    </row>
    <row r="128" spans="1:54" x14ac:dyDescent="0.2">
      <c r="T128" s="6"/>
      <c r="AB128" s="220"/>
      <c r="AN128" s="165"/>
      <c r="AT128" s="189"/>
      <c r="AU128" s="220"/>
      <c r="AW128" s="220"/>
    </row>
    <row r="129" spans="20:49" x14ac:dyDescent="0.2">
      <c r="T129" s="6"/>
      <c r="AB129" s="220"/>
      <c r="AT129" s="189"/>
      <c r="AU129" s="220"/>
      <c r="AW129" s="220"/>
    </row>
    <row r="130" spans="20:49" x14ac:dyDescent="0.2">
      <c r="T130" s="6"/>
      <c r="AB130" s="220"/>
      <c r="AT130" s="189"/>
      <c r="AU130" s="220"/>
      <c r="AW130" s="220"/>
    </row>
    <row r="131" spans="20:49" x14ac:dyDescent="0.2">
      <c r="T131" s="6"/>
      <c r="AB131" s="220"/>
      <c r="AT131" s="189"/>
      <c r="AU131" s="220"/>
      <c r="AW131" s="220"/>
    </row>
    <row r="132" spans="20:49" x14ac:dyDescent="0.2">
      <c r="T132" s="6"/>
      <c r="AB132" s="220"/>
      <c r="AT132" s="189"/>
      <c r="AU132" s="220"/>
      <c r="AW132" s="220"/>
    </row>
    <row r="133" spans="20:49" x14ac:dyDescent="0.2">
      <c r="T133" s="6"/>
      <c r="AB133" s="220"/>
      <c r="AT133" s="189"/>
      <c r="AU133" s="220"/>
      <c r="AW133" s="220"/>
    </row>
    <row r="134" spans="20:49" x14ac:dyDescent="0.2">
      <c r="T134" s="6"/>
      <c r="AB134" s="220"/>
      <c r="AT134" s="189"/>
      <c r="AU134" s="220"/>
      <c r="AW134" s="220"/>
    </row>
    <row r="135" spans="20:49" x14ac:dyDescent="0.2">
      <c r="T135" s="6"/>
      <c r="AB135" s="220"/>
      <c r="AT135" s="189"/>
      <c r="AU135" s="220"/>
      <c r="AW135" s="220"/>
    </row>
    <row r="136" spans="20:49" x14ac:dyDescent="0.2">
      <c r="T136" s="6"/>
      <c r="AB136" s="220"/>
      <c r="AT136" s="189"/>
      <c r="AU136" s="220"/>
      <c r="AW136" s="220"/>
    </row>
    <row r="137" spans="20:49" x14ac:dyDescent="0.2">
      <c r="T137" s="6"/>
      <c r="AB137" s="220"/>
      <c r="AT137" s="189"/>
      <c r="AU137" s="220"/>
      <c r="AW137" s="220"/>
    </row>
    <row r="138" spans="20:49" x14ac:dyDescent="0.2">
      <c r="T138" s="6"/>
      <c r="AB138" s="220"/>
      <c r="AT138" s="189"/>
      <c r="AU138" s="220"/>
      <c r="AW138" s="220"/>
    </row>
    <row r="139" spans="20:49" x14ac:dyDescent="0.2">
      <c r="T139" s="6"/>
      <c r="AB139" s="220"/>
      <c r="AT139" s="189"/>
      <c r="AU139" s="220"/>
      <c r="AW139" s="220"/>
    </row>
    <row r="140" spans="20:49" x14ac:dyDescent="0.2">
      <c r="T140" s="6"/>
      <c r="AB140" s="220"/>
      <c r="AT140" s="189"/>
      <c r="AU140" s="220"/>
      <c r="AW140" s="220"/>
    </row>
    <row r="141" spans="20:49" x14ac:dyDescent="0.2">
      <c r="T141" s="6"/>
      <c r="AB141" s="220"/>
      <c r="AT141" s="189"/>
      <c r="AU141" s="220"/>
      <c r="AW141" s="220"/>
    </row>
    <row r="142" spans="20:49" x14ac:dyDescent="0.2">
      <c r="T142" s="6"/>
      <c r="AB142" s="220"/>
      <c r="AT142" s="189"/>
      <c r="AU142" s="220"/>
      <c r="AW142" s="220"/>
    </row>
    <row r="143" spans="20:49" x14ac:dyDescent="0.2">
      <c r="T143" s="6"/>
      <c r="AB143" s="220"/>
      <c r="AT143" s="189"/>
      <c r="AU143" s="220"/>
      <c r="AW143" s="220"/>
    </row>
    <row r="144" spans="20:49" x14ac:dyDescent="0.2">
      <c r="T144" s="6"/>
      <c r="AB144" s="220"/>
      <c r="AT144" s="189"/>
      <c r="AU144" s="220"/>
      <c r="AW144" s="220"/>
    </row>
    <row r="145" spans="20:49" x14ac:dyDescent="0.2">
      <c r="T145" s="6"/>
      <c r="AB145" s="220"/>
      <c r="AT145" s="189"/>
      <c r="AU145" s="220"/>
      <c r="AW145" s="220"/>
    </row>
    <row r="146" spans="20:49" x14ac:dyDescent="0.2">
      <c r="T146" s="6"/>
      <c r="AB146" s="220"/>
      <c r="AT146" s="189"/>
      <c r="AU146" s="220"/>
      <c r="AW146" s="220"/>
    </row>
    <row r="147" spans="20:49" x14ac:dyDescent="0.2">
      <c r="T147" s="6"/>
      <c r="AB147" s="220"/>
      <c r="AT147" s="189"/>
      <c r="AU147" s="220"/>
      <c r="AW147" s="220"/>
    </row>
    <row r="148" spans="20:49" x14ac:dyDescent="0.2">
      <c r="T148" s="6"/>
      <c r="AB148" s="220"/>
      <c r="AT148" s="189"/>
      <c r="AU148" s="220"/>
      <c r="AW148" s="220"/>
    </row>
    <row r="149" spans="20:49" x14ac:dyDescent="0.2">
      <c r="T149" s="6"/>
      <c r="AB149" s="220"/>
      <c r="AT149" s="189"/>
      <c r="AU149" s="220"/>
      <c r="AW149" s="220"/>
    </row>
    <row r="150" spans="20:49" x14ac:dyDescent="0.2">
      <c r="T150" s="6"/>
      <c r="AB150" s="220"/>
      <c r="AT150" s="189"/>
      <c r="AU150" s="220"/>
      <c r="AW150" s="220"/>
    </row>
    <row r="151" spans="20:49" x14ac:dyDescent="0.2">
      <c r="T151" s="6"/>
      <c r="AB151" s="220"/>
      <c r="AT151" s="189"/>
      <c r="AU151" s="220"/>
      <c r="AW151" s="220"/>
    </row>
    <row r="152" spans="20:49" x14ac:dyDescent="0.2">
      <c r="T152" s="6"/>
      <c r="AB152" s="220"/>
      <c r="AT152" s="189"/>
      <c r="AU152" s="220"/>
      <c r="AW152" s="220"/>
    </row>
    <row r="153" spans="20:49" x14ac:dyDescent="0.2">
      <c r="T153" s="6"/>
      <c r="AB153" s="220"/>
      <c r="AT153" s="189"/>
      <c r="AU153" s="220"/>
      <c r="AW153" s="220"/>
    </row>
    <row r="154" spans="20:49" x14ac:dyDescent="0.2">
      <c r="T154" s="6"/>
      <c r="AB154" s="220"/>
      <c r="AT154" s="189"/>
      <c r="AU154" s="220"/>
      <c r="AW154" s="220"/>
    </row>
    <row r="155" spans="20:49" x14ac:dyDescent="0.2">
      <c r="T155" s="6"/>
      <c r="AB155" s="220"/>
      <c r="AT155" s="189"/>
      <c r="AU155" s="220"/>
      <c r="AW155" s="220"/>
    </row>
    <row r="156" spans="20:49" x14ac:dyDescent="0.2">
      <c r="T156" s="6"/>
      <c r="AB156" s="220"/>
      <c r="AT156" s="189"/>
      <c r="AU156" s="220"/>
      <c r="AW156" s="220"/>
    </row>
    <row r="157" spans="20:49" x14ac:dyDescent="0.2">
      <c r="T157" s="6"/>
      <c r="AB157" s="220"/>
      <c r="AT157" s="189"/>
      <c r="AU157" s="220"/>
      <c r="AW157" s="220"/>
    </row>
    <row r="158" spans="20:49" x14ac:dyDescent="0.2">
      <c r="T158" s="6"/>
      <c r="AB158" s="220"/>
      <c r="AT158" s="189"/>
      <c r="AU158" s="220"/>
      <c r="AW158" s="220"/>
    </row>
    <row r="159" spans="20:49" x14ac:dyDescent="0.2">
      <c r="T159" s="6"/>
      <c r="AB159" s="220"/>
      <c r="AT159" s="189"/>
      <c r="AU159" s="220"/>
      <c r="AW159" s="220"/>
    </row>
    <row r="160" spans="20:49" x14ac:dyDescent="0.2">
      <c r="T160" s="6"/>
      <c r="AB160" s="220"/>
      <c r="AT160" s="189"/>
      <c r="AU160" s="220"/>
      <c r="AW160" s="220"/>
    </row>
    <row r="161" spans="20:49" x14ac:dyDescent="0.2">
      <c r="T161" s="6"/>
      <c r="AB161" s="220"/>
      <c r="AT161" s="189"/>
      <c r="AU161" s="220"/>
      <c r="AW161" s="220"/>
    </row>
    <row r="162" spans="20:49" x14ac:dyDescent="0.2">
      <c r="T162" s="6"/>
      <c r="AB162" s="220"/>
      <c r="AT162" s="189"/>
      <c r="AU162" s="220"/>
      <c r="AW162" s="220"/>
    </row>
    <row r="163" spans="20:49" x14ac:dyDescent="0.2">
      <c r="T163" s="6"/>
      <c r="AB163" s="220"/>
      <c r="AT163" s="189"/>
      <c r="AU163" s="220"/>
      <c r="AW163" s="220"/>
    </row>
    <row r="164" spans="20:49" x14ac:dyDescent="0.2">
      <c r="T164" s="6"/>
      <c r="AB164" s="220"/>
      <c r="AT164" s="189"/>
      <c r="AU164" s="220"/>
      <c r="AW164" s="220"/>
    </row>
    <row r="165" spans="20:49" x14ac:dyDescent="0.2">
      <c r="T165" s="6"/>
      <c r="AB165" s="220"/>
      <c r="AT165" s="189"/>
      <c r="AU165" s="220"/>
      <c r="AW165" s="220"/>
    </row>
    <row r="166" spans="20:49" x14ac:dyDescent="0.2">
      <c r="T166" s="6"/>
      <c r="AB166" s="220"/>
      <c r="AT166" s="189"/>
      <c r="AU166" s="220"/>
      <c r="AW166" s="220"/>
    </row>
    <row r="167" spans="20:49" x14ac:dyDescent="0.2">
      <c r="T167" s="6"/>
      <c r="AB167" s="220"/>
      <c r="AT167" s="189"/>
      <c r="AU167" s="220"/>
      <c r="AW167" s="220"/>
    </row>
    <row r="168" spans="20:49" x14ac:dyDescent="0.2">
      <c r="T168" s="6"/>
      <c r="AB168" s="220"/>
      <c r="AT168" s="189"/>
      <c r="AU168" s="220"/>
      <c r="AW168" s="220"/>
    </row>
    <row r="169" spans="20:49" x14ac:dyDescent="0.2">
      <c r="T169" s="6"/>
      <c r="AB169" s="220"/>
      <c r="AT169" s="189"/>
      <c r="AU169" s="220"/>
      <c r="AW169" s="220"/>
    </row>
    <row r="170" spans="20:49" x14ac:dyDescent="0.2">
      <c r="T170" s="6"/>
      <c r="AB170" s="220"/>
      <c r="AT170" s="189"/>
      <c r="AU170" s="220"/>
      <c r="AW170" s="220"/>
    </row>
    <row r="171" spans="20:49" x14ac:dyDescent="0.2">
      <c r="T171" s="6"/>
      <c r="AB171" s="220"/>
      <c r="AT171" s="189"/>
      <c r="AU171" s="220"/>
      <c r="AW171" s="220"/>
    </row>
    <row r="172" spans="20:49" x14ac:dyDescent="0.2">
      <c r="T172" s="6"/>
      <c r="AB172" s="220"/>
      <c r="AT172" s="189"/>
      <c r="AU172" s="220"/>
      <c r="AW172" s="220"/>
    </row>
    <row r="173" spans="20:49" x14ac:dyDescent="0.2">
      <c r="T173" s="6"/>
      <c r="AB173" s="220"/>
      <c r="AT173" s="189"/>
      <c r="AU173" s="220"/>
      <c r="AW173" s="220"/>
    </row>
    <row r="174" spans="20:49" x14ac:dyDescent="0.2">
      <c r="T174" s="6"/>
      <c r="AB174" s="220"/>
      <c r="AT174" s="189"/>
      <c r="AU174" s="220"/>
      <c r="AW174" s="220"/>
    </row>
    <row r="175" spans="20:49" x14ac:dyDescent="0.2">
      <c r="T175" s="6"/>
      <c r="AB175" s="220"/>
      <c r="AT175" s="189"/>
      <c r="AU175" s="220"/>
      <c r="AW175" s="220"/>
    </row>
    <row r="176" spans="20:49" x14ac:dyDescent="0.2">
      <c r="T176" s="6"/>
      <c r="AB176" s="220"/>
      <c r="AT176" s="189"/>
      <c r="AU176" s="220"/>
      <c r="AW176" s="220"/>
    </row>
    <row r="177" spans="20:49" x14ac:dyDescent="0.2">
      <c r="T177" s="6"/>
      <c r="AB177" s="220"/>
      <c r="AT177" s="189"/>
      <c r="AU177" s="220"/>
      <c r="AW177" s="220"/>
    </row>
    <row r="178" spans="20:49" x14ac:dyDescent="0.2">
      <c r="T178" s="6"/>
      <c r="AB178" s="220"/>
      <c r="AT178" s="189"/>
      <c r="AU178" s="220"/>
      <c r="AW178" s="220"/>
    </row>
    <row r="179" spans="20:49" x14ac:dyDescent="0.2">
      <c r="T179" s="6"/>
      <c r="AB179" s="220"/>
      <c r="AT179" s="189"/>
      <c r="AU179" s="220"/>
      <c r="AW179" s="220"/>
    </row>
    <row r="180" spans="20:49" x14ac:dyDescent="0.2">
      <c r="T180" s="6"/>
      <c r="AB180" s="220"/>
      <c r="AT180" s="189"/>
      <c r="AU180" s="220"/>
      <c r="AW180" s="220"/>
    </row>
    <row r="181" spans="20:49" x14ac:dyDescent="0.2">
      <c r="T181" s="6"/>
      <c r="AB181" s="220"/>
      <c r="AT181" s="189"/>
      <c r="AU181" s="220"/>
      <c r="AW181" s="220"/>
    </row>
    <row r="182" spans="20:49" x14ac:dyDescent="0.2">
      <c r="T182" s="220"/>
      <c r="AB182" s="220"/>
      <c r="AT182" s="189"/>
      <c r="AU182" s="220"/>
      <c r="AW182" s="220"/>
    </row>
    <row r="183" spans="20:49" x14ac:dyDescent="0.2">
      <c r="T183" s="1"/>
      <c r="AB183" s="220"/>
      <c r="AT183" s="189"/>
      <c r="AU183" s="220"/>
      <c r="AW183" s="220"/>
    </row>
    <row r="184" spans="20:49" x14ac:dyDescent="0.2">
      <c r="AB184" s="220"/>
      <c r="AT184" s="189"/>
      <c r="AU184" s="220"/>
      <c r="AW184" s="220"/>
    </row>
    <row r="185" spans="20:49" x14ac:dyDescent="0.2">
      <c r="AB185" s="220"/>
      <c r="AT185" s="189"/>
      <c r="AU185" s="220"/>
      <c r="AW185" s="220"/>
    </row>
    <row r="186" spans="20:49" x14ac:dyDescent="0.2">
      <c r="AB186" s="220"/>
      <c r="AT186" s="189"/>
      <c r="AU186" s="220"/>
      <c r="AW186" s="220"/>
    </row>
    <row r="187" spans="20:49" x14ac:dyDescent="0.2">
      <c r="AB187" s="1"/>
      <c r="AT187" s="189"/>
      <c r="AU187" s="220"/>
      <c r="AW187" s="220"/>
    </row>
    <row r="188" spans="20:49" x14ac:dyDescent="0.2">
      <c r="AT188" s="189"/>
      <c r="AU188" s="220"/>
      <c r="AW188" s="220"/>
    </row>
    <row r="189" spans="20:49" x14ac:dyDescent="0.2">
      <c r="AT189" s="189"/>
      <c r="AU189" s="220"/>
      <c r="AW189" s="220"/>
    </row>
    <row r="190" spans="20:49" x14ac:dyDescent="0.2">
      <c r="AT190" s="189"/>
      <c r="AU190" s="220"/>
      <c r="AW190" s="220"/>
    </row>
    <row r="191" spans="20:49" x14ac:dyDescent="0.2">
      <c r="AT191" s="189"/>
      <c r="AU191" s="220"/>
      <c r="AW191" s="220"/>
    </row>
    <row r="192" spans="20:49" x14ac:dyDescent="0.2">
      <c r="AT192" s="189"/>
      <c r="AU192" s="220"/>
      <c r="AW192" s="220"/>
    </row>
    <row r="193" spans="46:49" x14ac:dyDescent="0.2">
      <c r="AT193" s="189"/>
      <c r="AU193" s="220"/>
      <c r="AW193" s="220"/>
    </row>
    <row r="194" spans="46:49" x14ac:dyDescent="0.2">
      <c r="AT194" s="189"/>
      <c r="AU194" s="220"/>
      <c r="AW194" s="220"/>
    </row>
    <row r="195" spans="46:49" x14ac:dyDescent="0.2">
      <c r="AT195" s="189"/>
      <c r="AU195" s="220"/>
      <c r="AW195" s="220"/>
    </row>
    <row r="196" spans="46:49" x14ac:dyDescent="0.2">
      <c r="AT196" s="189"/>
      <c r="AU196" s="220"/>
      <c r="AW196" s="220"/>
    </row>
    <row r="197" spans="46:49" x14ac:dyDescent="0.2">
      <c r="AT197" s="189"/>
      <c r="AU197" s="220"/>
      <c r="AW197" s="220"/>
    </row>
    <row r="198" spans="46:49" x14ac:dyDescent="0.2">
      <c r="AT198" s="189"/>
      <c r="AU198" s="220"/>
      <c r="AW198" s="220"/>
    </row>
    <row r="199" spans="46:49" x14ac:dyDescent="0.2">
      <c r="AT199" s="189"/>
      <c r="AU199" s="220"/>
      <c r="AW199" s="220"/>
    </row>
    <row r="200" spans="46:49" x14ac:dyDescent="0.2">
      <c r="AT200" s="189"/>
      <c r="AU200" s="220"/>
      <c r="AW200" s="220"/>
    </row>
    <row r="201" spans="46:49" x14ac:dyDescent="0.2">
      <c r="AT201" s="189"/>
      <c r="AU201" s="220"/>
      <c r="AW201" s="220"/>
    </row>
    <row r="202" spans="46:49" x14ac:dyDescent="0.2">
      <c r="AT202" s="189"/>
      <c r="AU202" s="220"/>
      <c r="AW202" s="220"/>
    </row>
    <row r="203" spans="46:49" x14ac:dyDescent="0.2">
      <c r="AT203" s="189"/>
      <c r="AU203" s="220"/>
      <c r="AW203" s="220"/>
    </row>
    <row r="204" spans="46:49" x14ac:dyDescent="0.2">
      <c r="AT204" s="189"/>
      <c r="AU204" s="220"/>
      <c r="AW204" s="220"/>
    </row>
    <row r="205" spans="46:49" x14ac:dyDescent="0.2">
      <c r="AT205" s="189"/>
      <c r="AU205" s="220"/>
      <c r="AW205" s="220"/>
    </row>
    <row r="206" spans="46:49" x14ac:dyDescent="0.2">
      <c r="AT206" s="189"/>
      <c r="AU206" s="220"/>
      <c r="AW206" s="220"/>
    </row>
  </sheetData>
  <sheetProtection sheet="1" selectLockedCells="1"/>
  <scenarios current="0" show="0">
    <scenario name="Corn Already Planted" count="1" user="William Edwards" comment="Created by William Edwards on 4/14/2005">
      <inputCells r="F16" val="38467" numFmtId="16"/>
    </scenario>
  </scenarios>
  <mergeCells count="12">
    <mergeCell ref="D5:F5"/>
    <mergeCell ref="J8:N8"/>
    <mergeCell ref="J9:J10"/>
    <mergeCell ref="L9:L10"/>
    <mergeCell ref="N9:N10"/>
    <mergeCell ref="L19:L21"/>
    <mergeCell ref="N19:N21"/>
    <mergeCell ref="C38:H38"/>
    <mergeCell ref="C72:F72"/>
    <mergeCell ref="C30:D30"/>
    <mergeCell ref="E19:F19"/>
    <mergeCell ref="J19:J21"/>
  </mergeCells>
  <conditionalFormatting sqref="J27:K27">
    <cfRule type="cellIs" dxfId="55" priority="39" operator="equal">
      <formula>0</formula>
    </cfRule>
  </conditionalFormatting>
  <conditionalFormatting sqref="L27:N27">
    <cfRule type="cellIs" dxfId="54" priority="38" operator="equal">
      <formula>0</formula>
    </cfRule>
  </conditionalFormatting>
  <conditionalFormatting sqref="J51 L51 N51">
    <cfRule type="iconSet" priority="11">
      <iconSet iconSet="3TrafficLights2">
        <cfvo type="percent" val="0"/>
        <cfvo type="percent" val="33"/>
        <cfvo type="percent" val="67"/>
      </iconSet>
    </cfRule>
  </conditionalFormatting>
  <conditionalFormatting sqref="J28 J22 L28:L29 L22">
    <cfRule type="expression" dxfId="53" priority="57">
      <formula>$E$19="Revenue Protection"</formula>
    </cfRule>
  </conditionalFormatting>
  <conditionalFormatting sqref="J27 L27 L40">
    <cfRule type="expression" dxfId="52" priority="59">
      <formula>$E$19="Yield Protection"</formula>
    </cfRule>
  </conditionalFormatting>
  <conditionalFormatting sqref="E22:F22">
    <cfRule type="expression" dxfId="51" priority="61">
      <formula>OR($E$19="Revenue Protection")</formula>
    </cfRule>
  </conditionalFormatting>
  <conditionalFormatting sqref="N28:N29 N22">
    <cfRule type="expression" dxfId="50" priority="62">
      <formula>$H$19="Revenue Protection"</formula>
    </cfRule>
  </conditionalFormatting>
  <conditionalFormatting sqref="N27">
    <cfRule type="expression" dxfId="49" priority="63">
      <formula>$H$19="Yield Protection"</formula>
    </cfRule>
  </conditionalFormatting>
  <conditionalFormatting sqref="J40:K40">
    <cfRule type="cellIs" dxfId="48" priority="3" operator="equal">
      <formula>0</formula>
    </cfRule>
  </conditionalFormatting>
  <conditionalFormatting sqref="L40:N40">
    <cfRule type="cellIs" dxfId="47" priority="2" operator="equal">
      <formula>0</formula>
    </cfRule>
  </conditionalFormatting>
  <conditionalFormatting sqref="J40">
    <cfRule type="expression" dxfId="46" priority="4">
      <formula>$AH$81&lt;4</formula>
    </cfRule>
  </conditionalFormatting>
  <conditionalFormatting sqref="N40">
    <cfRule type="expression" dxfId="45" priority="5">
      <formula>$AI$81&lt;4</formula>
    </cfRule>
  </conditionalFormatting>
  <conditionalFormatting sqref="H22">
    <cfRule type="expression" dxfId="44" priority="1">
      <formula>InsSels="Revenue Protection"</formula>
    </cfRule>
  </conditionalFormatting>
  <dataValidations count="9">
    <dataValidation type="list" allowBlank="1" showInputMessage="1" showErrorMessage="1" sqref="E20" xr:uid="{00000000-0002-0000-0100-000000000000}">
      <formula1>$AN$84:$AN$88</formula1>
    </dataValidation>
    <dataValidation type="list" allowBlank="1" showInputMessage="1" showErrorMessage="1" sqref="F22:H22" xr:uid="{00000000-0002-0000-0100-000002000000}">
      <formula1>$AH$84:$AH$124</formula1>
    </dataValidation>
    <dataValidation type="list" allowBlank="1" showInputMessage="1" showErrorMessage="1" sqref="H88" xr:uid="{00000000-0002-0000-0100-000003000000}">
      <formula1>$AH$71:$AH$73</formula1>
    </dataValidation>
    <dataValidation allowBlank="1" showInputMessage="1" showErrorMessage="1" prompt="The futures price is used to estimate crop revenue insurance payments." sqref="F10:H10" xr:uid="{00000000-0002-0000-0100-000004000000}"/>
    <dataValidation type="list" allowBlank="1" showInputMessage="1" showErrorMessage="1" sqref="F20" xr:uid="{B898DBFA-08A1-4B92-940C-1F22E398D445}">
      <formula1>$AK$98:$AK$99</formula1>
    </dataValidation>
    <dataValidation type="list" allowBlank="1" showInputMessage="1" showErrorMessage="1" sqref="F24:H24" xr:uid="{00000000-0002-0000-0100-000001000000}">
      <formula1>$AK$84:$AK$101</formula1>
    </dataValidation>
    <dataValidation type="list" allowBlank="1" showInputMessage="1" showErrorMessage="1" sqref="H20" xr:uid="{3E5369C8-EC48-4219-A35D-562F68F2B251}">
      <formula1>$AK$101:$AK$102</formula1>
    </dataValidation>
    <dataValidation type="list" allowBlank="1" showInputMessage="1" showErrorMessage="1" sqref="E19:F19" xr:uid="{A45178B1-7782-418A-883D-8838C9A371C9}">
      <formula1>$H$84:$H$85</formula1>
    </dataValidation>
    <dataValidation type="list" allowBlank="1" showInputMessage="1" showErrorMessage="1" sqref="H19" xr:uid="{4EBE9AA4-A242-4791-B79B-42590B5BEFC0}">
      <formula1>$H$84:$H$86</formula1>
    </dataValidation>
  </dataValidations>
  <pageMargins left="0.45" right="0.51" top="0.53" bottom="0.5" header="0.5" footer="0.5"/>
  <pageSetup scale="69" orientation="landscape" r:id="rId1"/>
  <headerFooter alignWithMargins="0"/>
  <ignoredErrors>
    <ignoredError sqref="L21:N21 L16:N16 N40 M19 M24" unlockedFormula="1"/>
  </ignoredErrors>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5000000}">
          <x14:formula1>
            <xm:f>RMAData!$A$3:$A$117</xm:f>
          </x14:formula1>
          <xm:sqref>D5:G5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A4D9A-7B68-401B-9B3F-07324CFDF295}">
  <sheetPr>
    <pageSetUpPr fitToPage="1"/>
  </sheetPr>
  <dimension ref="A1:AX206"/>
  <sheetViews>
    <sheetView showGridLines="0" zoomScale="115" zoomScaleNormal="115" workbookViewId="0">
      <selection activeCell="D5" sqref="D5:F5"/>
    </sheetView>
  </sheetViews>
  <sheetFormatPr defaultColWidth="9.140625" defaultRowHeight="12.75" x14ac:dyDescent="0.2"/>
  <cols>
    <col min="1" max="1" width="2.28515625" style="156" customWidth="1"/>
    <col min="2" max="2" width="1.7109375" customWidth="1"/>
    <col min="3" max="3" width="29.7109375" customWidth="1"/>
    <col min="4" max="4" width="14" customWidth="1"/>
    <col min="5" max="5" width="0.85546875" customWidth="1"/>
    <col min="6" max="6" width="16.7109375" customWidth="1"/>
    <col min="7" max="7" width="1.7109375" customWidth="1"/>
    <col min="8" max="8" width="16.42578125" customWidth="1"/>
    <col min="9" max="9" width="0.85546875" customWidth="1"/>
    <col min="10" max="10" width="17" customWidth="1"/>
    <col min="11" max="11" width="1.7109375" customWidth="1"/>
    <col min="13" max="13" width="28.7109375" customWidth="1"/>
    <col min="14" max="14" width="13.140625" customWidth="1"/>
    <col min="15" max="15" width="11.42578125" customWidth="1"/>
    <col min="16" max="16" width="89.42578125" customWidth="1"/>
    <col min="36" max="36" width="34.42578125" bestFit="1" customWidth="1"/>
    <col min="37" max="37" width="10.5703125" bestFit="1" customWidth="1"/>
    <col min="38" max="38" width="13.42578125" bestFit="1" customWidth="1"/>
    <col min="46" max="46" width="9.85546875" bestFit="1" customWidth="1"/>
  </cols>
  <sheetData>
    <row r="1" spans="1:18" s="147" customFormat="1" ht="18.75" thickBot="1" x14ac:dyDescent="0.3">
      <c r="A1" s="146"/>
      <c r="C1" s="148" t="s">
        <v>178</v>
      </c>
      <c r="H1" s="148"/>
    </row>
    <row r="2" spans="1:18" s="150" customFormat="1" ht="7.5" customHeight="1" thickTop="1" x14ac:dyDescent="0.25">
      <c r="A2" s="149"/>
    </row>
    <row r="3" spans="1:18" s="36" customFormat="1" ht="15" x14ac:dyDescent="0.25">
      <c r="A3" s="149"/>
      <c r="C3" s="151" t="s">
        <v>177</v>
      </c>
      <c r="D3" s="152"/>
      <c r="E3" s="153"/>
      <c r="G3" s="343" t="s">
        <v>174</v>
      </c>
      <c r="H3" s="343"/>
      <c r="I3" s="343"/>
      <c r="J3" s="343"/>
      <c r="K3" s="344"/>
      <c r="L3" s="345"/>
    </row>
    <row r="4" spans="1:18" s="36" customFormat="1" ht="8.25" customHeight="1" x14ac:dyDescent="0.2">
      <c r="A4" s="149"/>
      <c r="G4"/>
      <c r="H4"/>
      <c r="I4"/>
      <c r="J4" s="1"/>
      <c r="K4"/>
      <c r="L4"/>
      <c r="M4" s="155"/>
      <c r="N4" s="155"/>
      <c r="O4" s="155"/>
      <c r="P4" s="155"/>
      <c r="Q4" s="155"/>
      <c r="R4"/>
    </row>
    <row r="5" spans="1:18" s="36" customFormat="1" ht="17.25" customHeight="1" x14ac:dyDescent="0.25">
      <c r="A5" s="149"/>
      <c r="C5" s="114" t="s">
        <v>164</v>
      </c>
      <c r="D5" s="415" t="s">
        <v>31</v>
      </c>
      <c r="E5" s="416"/>
      <c r="F5" s="416"/>
      <c r="H5" s="269" t="s">
        <v>203</v>
      </c>
      <c r="I5" s="23"/>
      <c r="J5" s="154"/>
      <c r="K5"/>
      <c r="L5"/>
      <c r="M5" s="155"/>
      <c r="N5" s="155"/>
      <c r="O5" s="155"/>
      <c r="P5" s="155"/>
      <c r="Q5" s="155"/>
      <c r="R5"/>
    </row>
    <row r="6" spans="1:18" ht="5.25" customHeight="1" x14ac:dyDescent="0.2">
      <c r="N6" s="155"/>
      <c r="O6" s="155"/>
      <c r="P6" s="155"/>
      <c r="Q6" s="155"/>
    </row>
    <row r="7" spans="1:18" ht="6" customHeight="1" thickBot="1" x14ac:dyDescent="0.25">
      <c r="H7" s="36"/>
      <c r="I7" s="36"/>
      <c r="M7" s="155"/>
      <c r="N7" s="155"/>
      <c r="O7" s="155"/>
      <c r="P7" s="155"/>
      <c r="Q7" s="155"/>
    </row>
    <row r="8" spans="1:18" ht="18" thickBot="1" x14ac:dyDescent="0.35">
      <c r="C8" s="157" t="s">
        <v>161</v>
      </c>
      <c r="D8" s="158"/>
      <c r="E8" s="159"/>
      <c r="F8" s="81" t="s">
        <v>0</v>
      </c>
      <c r="H8" s="417" t="s">
        <v>239</v>
      </c>
      <c r="I8" s="418"/>
      <c r="J8" s="419"/>
      <c r="K8" s="72"/>
      <c r="L8" s="16"/>
      <c r="M8" s="18"/>
      <c r="N8" s="16"/>
      <c r="O8" s="16"/>
      <c r="P8" s="16"/>
      <c r="Q8" s="16"/>
      <c r="R8" s="16"/>
    </row>
    <row r="9" spans="1:18" ht="15.75" thickTop="1" x14ac:dyDescent="0.25">
      <c r="C9" s="25" t="s">
        <v>165</v>
      </c>
      <c r="D9" s="51"/>
      <c r="E9" s="84"/>
      <c r="F9" s="74">
        <v>5.75</v>
      </c>
      <c r="H9" s="420" t="s">
        <v>235</v>
      </c>
      <c r="I9" s="308"/>
      <c r="J9" s="426" t="s">
        <v>236</v>
      </c>
      <c r="K9" s="33"/>
      <c r="L9" s="4"/>
      <c r="M9" s="155"/>
      <c r="N9" s="4"/>
      <c r="O9" s="4"/>
      <c r="P9" s="4"/>
      <c r="Q9" s="4"/>
      <c r="R9" s="4"/>
    </row>
    <row r="10" spans="1:18" ht="12.75" customHeight="1" x14ac:dyDescent="0.25">
      <c r="C10" s="25" t="s">
        <v>166</v>
      </c>
      <c r="D10" s="26"/>
      <c r="E10" s="84"/>
      <c r="F10" s="74">
        <v>5.5</v>
      </c>
      <c r="H10" s="421"/>
      <c r="I10" s="116"/>
      <c r="J10" s="427"/>
      <c r="K10" s="5"/>
      <c r="L10" s="4"/>
      <c r="M10" s="155"/>
      <c r="N10" s="4"/>
      <c r="O10" s="4"/>
      <c r="P10" s="4"/>
      <c r="Q10" s="4"/>
      <c r="R10" s="4"/>
    </row>
    <row r="11" spans="1:18" ht="15" x14ac:dyDescent="0.25">
      <c r="C11" s="24" t="s">
        <v>167</v>
      </c>
      <c r="E11" s="161"/>
      <c r="F11" s="133">
        <f>IndemPs</f>
        <v>13.76</v>
      </c>
      <c r="H11" s="310">
        <f>IF(InsSelc="Yield Protection",F11*F22,F11)</f>
        <v>13.76</v>
      </c>
      <c r="I11" s="116"/>
      <c r="J11" s="329">
        <f>IF(InsSelc="Yield Protection",F11*F22,F11)</f>
        <v>13.76</v>
      </c>
      <c r="K11" s="6"/>
      <c r="L11" s="4"/>
      <c r="M11" s="1"/>
      <c r="N11" s="4"/>
      <c r="O11" s="4"/>
      <c r="P11" s="4"/>
      <c r="Q11" s="4"/>
      <c r="R11" s="4"/>
    </row>
    <row r="12" spans="1:18" ht="23.25" customHeight="1" thickBot="1" x14ac:dyDescent="0.35">
      <c r="C12" s="162" t="s">
        <v>160</v>
      </c>
      <c r="E12" s="161"/>
      <c r="F12" s="164"/>
      <c r="H12" s="265"/>
      <c r="I12" s="116"/>
      <c r="J12" s="283"/>
      <c r="K12" s="33"/>
      <c r="L12" s="2"/>
      <c r="N12" s="1"/>
      <c r="O12" s="1"/>
      <c r="P12" s="2"/>
      <c r="Q12" s="2"/>
      <c r="R12" s="2"/>
    </row>
    <row r="13" spans="1:18" ht="15.75" thickTop="1" x14ac:dyDescent="0.25">
      <c r="C13" s="25" t="s">
        <v>155</v>
      </c>
      <c r="D13" s="26"/>
      <c r="E13" s="84"/>
      <c r="F13" s="76">
        <v>50</v>
      </c>
      <c r="H13" s="265"/>
      <c r="I13" s="116"/>
      <c r="J13" s="283"/>
      <c r="K13" s="33"/>
      <c r="L13" s="2"/>
      <c r="N13" s="1"/>
      <c r="O13" s="1"/>
      <c r="P13" s="2"/>
      <c r="Q13" s="2"/>
      <c r="R13" s="2"/>
    </row>
    <row r="14" spans="1:18" ht="15" customHeight="1" x14ac:dyDescent="0.25">
      <c r="C14" s="24" t="s">
        <v>170</v>
      </c>
      <c r="D14" s="26"/>
      <c r="E14" s="84"/>
      <c r="F14" s="126">
        <v>45061</v>
      </c>
      <c r="H14" s="265"/>
      <c r="I14" s="116"/>
      <c r="J14" s="285"/>
      <c r="K14" s="33"/>
      <c r="L14" s="2"/>
      <c r="N14" s="1"/>
      <c r="O14" s="1"/>
      <c r="P14" s="2"/>
      <c r="Q14" s="2"/>
      <c r="R14" s="2"/>
    </row>
    <row r="15" spans="1:18" ht="15" customHeight="1" x14ac:dyDescent="0.25">
      <c r="C15" s="24" t="s">
        <v>156</v>
      </c>
      <c r="D15" s="26"/>
      <c r="E15" s="84"/>
      <c r="F15" s="76">
        <v>20</v>
      </c>
      <c r="H15" s="313">
        <f>F15</f>
        <v>20</v>
      </c>
      <c r="I15" s="116"/>
      <c r="J15" s="316"/>
      <c r="K15" s="33"/>
      <c r="L15" s="2"/>
      <c r="N15" s="1"/>
      <c r="O15" s="1"/>
      <c r="P15" s="2"/>
      <c r="Q15" s="2"/>
      <c r="R15" s="2"/>
    </row>
    <row r="16" spans="1:18" ht="15" x14ac:dyDescent="0.25">
      <c r="C16" s="25" t="s">
        <v>158</v>
      </c>
      <c r="D16" s="26"/>
      <c r="E16" s="84"/>
      <c r="F16" s="126">
        <v>45097</v>
      </c>
      <c r="H16" s="313"/>
      <c r="I16" s="315"/>
      <c r="J16" s="321">
        <f>F16</f>
        <v>45097</v>
      </c>
      <c r="K16" s="168"/>
      <c r="N16" s="155"/>
      <c r="O16" s="155"/>
      <c r="P16" s="155"/>
      <c r="Q16" s="155"/>
    </row>
    <row r="17" spans="1:23" ht="15" x14ac:dyDescent="0.25">
      <c r="C17" s="25" t="s">
        <v>228</v>
      </c>
      <c r="D17" s="26"/>
      <c r="E17" s="84"/>
      <c r="F17" s="303"/>
      <c r="H17" s="313"/>
      <c r="I17" s="315"/>
      <c r="J17" s="330">
        <f ca="1">MIN(F13,IF(Region="Central and North MO",AL118*F13,AN118*F13))</f>
        <v>38.840136054903269</v>
      </c>
      <c r="M17" s="272"/>
      <c r="N17" s="155"/>
      <c r="O17" s="155"/>
      <c r="P17" s="155"/>
      <c r="Q17" s="155"/>
    </row>
    <row r="18" spans="1:23" ht="23.25" customHeight="1" thickBot="1" x14ac:dyDescent="0.35">
      <c r="C18" s="131" t="s">
        <v>12</v>
      </c>
      <c r="D18" s="32"/>
      <c r="E18" s="85"/>
      <c r="F18" s="83"/>
      <c r="H18" s="41"/>
      <c r="I18" s="42"/>
      <c r="J18" s="289"/>
      <c r="M18" s="272"/>
      <c r="N18" s="155"/>
      <c r="O18" s="155"/>
      <c r="P18" s="155"/>
      <c r="Q18" s="155"/>
    </row>
    <row r="19" spans="1:23" ht="29.25" customHeight="1" thickTop="1" x14ac:dyDescent="0.25">
      <c r="C19" s="25" t="s">
        <v>152</v>
      </c>
      <c r="D19" s="51"/>
      <c r="E19" s="413" t="s">
        <v>26</v>
      </c>
      <c r="F19" s="428"/>
      <c r="H19" s="414" t="str">
        <f>InsSelc</f>
        <v>Yield Protection</v>
      </c>
      <c r="I19" s="114"/>
      <c r="J19" s="406" t="str">
        <f>InsSelc</f>
        <v>Yield Protection</v>
      </c>
      <c r="K19" s="170"/>
      <c r="M19" s="16" t="s">
        <v>247</v>
      </c>
      <c r="N19" s="325" t="s">
        <v>0</v>
      </c>
      <c r="O19" s="325" t="s">
        <v>192</v>
      </c>
      <c r="P19" s="16" t="s">
        <v>248</v>
      </c>
      <c r="Q19" s="16"/>
    </row>
    <row r="20" spans="1:23" ht="15" customHeight="1" x14ac:dyDescent="0.25">
      <c r="C20" s="25" t="s">
        <v>214</v>
      </c>
      <c r="D20" s="51"/>
      <c r="E20" s="268"/>
      <c r="F20" s="277">
        <v>0.6</v>
      </c>
      <c r="H20" s="414"/>
      <c r="I20" s="114"/>
      <c r="J20" s="406"/>
      <c r="K20" s="170"/>
      <c r="M20" s="16" t="s">
        <v>204</v>
      </c>
      <c r="N20" s="326">
        <f>VLOOKUP(County,RMAData!$A$3:$F$117,5)</f>
        <v>45021</v>
      </c>
      <c r="O20" s="326">
        <f>VLOOKUP(County,RMADates[],6)</f>
        <v>45036</v>
      </c>
      <c r="P20" s="16" t="s">
        <v>208</v>
      </c>
      <c r="Q20" s="16"/>
    </row>
    <row r="21" spans="1:23" ht="15" x14ac:dyDescent="0.25">
      <c r="C21" s="129" t="s">
        <v>11</v>
      </c>
      <c r="D21" s="51"/>
      <c r="E21" s="77"/>
      <c r="F21" s="74">
        <v>20</v>
      </c>
      <c r="H21" s="414"/>
      <c r="I21" s="114"/>
      <c r="J21" s="406"/>
      <c r="K21" s="170"/>
      <c r="M21" s="16" t="s">
        <v>210</v>
      </c>
      <c r="N21" s="326">
        <f>VLOOKUP(County,RMADates[],3)</f>
        <v>45077</v>
      </c>
      <c r="O21" s="326">
        <f>VLOOKUP(County,RMADates[],4)</f>
        <v>45097</v>
      </c>
      <c r="P21" s="16" t="s">
        <v>221</v>
      </c>
      <c r="Q21" s="16"/>
    </row>
    <row r="22" spans="1:23" ht="15" x14ac:dyDescent="0.25">
      <c r="C22" s="25" t="s">
        <v>169</v>
      </c>
      <c r="D22" s="51"/>
      <c r="E22" s="77"/>
      <c r="F22" s="298">
        <v>1</v>
      </c>
      <c r="H22" s="142"/>
      <c r="I22" s="299"/>
      <c r="J22" s="301"/>
      <c r="K22" s="171"/>
      <c r="M22" s="16" t="s">
        <v>205</v>
      </c>
      <c r="N22" s="326">
        <f>VLOOKUP(County,RMADates[],3)+1</f>
        <v>45078</v>
      </c>
      <c r="O22" s="326">
        <f>VLOOKUP(County,RMADates[],4)+1</f>
        <v>45098</v>
      </c>
      <c r="P22" s="16" t="s">
        <v>222</v>
      </c>
      <c r="Q22" s="16"/>
    </row>
    <row r="23" spans="1:23" ht="15" x14ac:dyDescent="0.25">
      <c r="C23" s="25" t="s">
        <v>157</v>
      </c>
      <c r="D23" s="51"/>
      <c r="E23" s="77"/>
      <c r="F23" s="76">
        <v>45</v>
      </c>
      <c r="H23" s="41"/>
      <c r="I23" s="42"/>
      <c r="J23" s="289"/>
      <c r="M23" s="16" t="s">
        <v>206</v>
      </c>
      <c r="N23" s="326">
        <f>VLOOKUP($D$5,RMADates[],3)+PlPerc</f>
        <v>45097</v>
      </c>
      <c r="O23" s="326">
        <f>VLOOKUP(County,RMADates[],4)+PlPers</f>
        <v>45122</v>
      </c>
      <c r="P23" s="16" t="s">
        <v>223</v>
      </c>
      <c r="Q23" s="16"/>
    </row>
    <row r="24" spans="1:23" ht="15" x14ac:dyDescent="0.25">
      <c r="C24" s="25" t="s">
        <v>8</v>
      </c>
      <c r="D24" s="51"/>
      <c r="E24" s="77"/>
      <c r="F24" s="79">
        <v>0.75</v>
      </c>
      <c r="H24" s="279"/>
      <c r="I24" s="290"/>
      <c r="J24" s="292"/>
      <c r="K24" s="171"/>
      <c r="M24" s="16" t="s">
        <v>207</v>
      </c>
      <c r="N24" s="326">
        <f>VLOOKUP(County,RMADates[],3)+H106</f>
        <v>45087</v>
      </c>
      <c r="O24" s="326">
        <f>VLOOKUP(County,RMADates[],4)+H106</f>
        <v>45107</v>
      </c>
      <c r="P24" s="16" t="s">
        <v>224</v>
      </c>
      <c r="Q24" s="16"/>
    </row>
    <row r="25" spans="1:23" ht="15" x14ac:dyDescent="0.25">
      <c r="C25" s="25" t="s">
        <v>227</v>
      </c>
      <c r="D25" s="51"/>
      <c r="E25" s="306"/>
      <c r="F25" s="173"/>
      <c r="H25" s="307">
        <f>IF(F14&lt;FinPLs,InsCovc,IF(F14&gt;(EndPls),F20,InsCovc-(F14-FinPLs)/100))</f>
        <v>0.75</v>
      </c>
      <c r="I25" s="290"/>
      <c r="J25" s="331">
        <f>H25</f>
        <v>0.75</v>
      </c>
      <c r="K25" s="171"/>
    </row>
    <row r="26" spans="1:23" ht="8.25" customHeight="1" x14ac:dyDescent="0.2">
      <c r="C26" s="172"/>
      <c r="F26" s="173"/>
      <c r="H26" s="41"/>
      <c r="I26" s="42"/>
      <c r="J26" s="294"/>
    </row>
    <row r="27" spans="1:23" s="4" customFormat="1" ht="12.75" customHeight="1" x14ac:dyDescent="0.2">
      <c r="A27" s="156"/>
      <c r="B27"/>
      <c r="C27" s="115" t="s">
        <v>220</v>
      </c>
      <c r="F27" s="174"/>
      <c r="G27" s="2"/>
      <c r="H27" s="142">
        <f>APHc*H25*IndemPc</f>
        <v>797.85</v>
      </c>
      <c r="I27" s="143"/>
      <c r="J27" s="301">
        <f>APHc*H25*IndemPc</f>
        <v>797.85</v>
      </c>
      <c r="W27" s="175"/>
    </row>
    <row r="28" spans="1:23" s="1" customFormat="1" x14ac:dyDescent="0.2">
      <c r="A28" s="176"/>
      <c r="C28" s="177" t="s">
        <v>218</v>
      </c>
      <c r="F28" s="178"/>
      <c r="H28" s="138">
        <f>H25*F23</f>
        <v>33.75</v>
      </c>
      <c r="I28" s="139"/>
      <c r="J28" s="141">
        <f>J25*F23</f>
        <v>33.75</v>
      </c>
      <c r="K28" s="139"/>
      <c r="W28" s="165"/>
    </row>
    <row r="29" spans="1:23" s="1" customFormat="1" x14ac:dyDescent="0.2">
      <c r="A29" s="176"/>
      <c r="C29" s="177" t="s">
        <v>215</v>
      </c>
      <c r="F29" s="336"/>
      <c r="H29" s="313" t="str">
        <f>IF(InsSelc="Revenue Protection",IF(AND(H15*F11&lt;=RevGuarc*PractPercent,F16&lt;Practicalc+1),"Yes","No"),IF(InsSelc="Yield Protection",IF(AND(H15&lt;=H28*PractPercent,F16&lt;N24+1),"Yes","No"),"No"))</f>
        <v>No</v>
      </c>
      <c r="I29" s="143"/>
      <c r="J29" s="145"/>
      <c r="M29" s="271"/>
      <c r="R29" s="2"/>
      <c r="S29" s="2"/>
      <c r="T29" s="2"/>
    </row>
    <row r="30" spans="1:23" s="2" customFormat="1" ht="23.25" customHeight="1" thickBot="1" x14ac:dyDescent="0.35">
      <c r="A30" s="149"/>
      <c r="B30" s="36"/>
      <c r="C30" s="411" t="s">
        <v>20</v>
      </c>
      <c r="D30" s="412"/>
      <c r="E30" s="54"/>
      <c r="F30" s="174"/>
      <c r="H30" s="41"/>
      <c r="I30" s="42"/>
      <c r="J30" s="294"/>
      <c r="M30" s="1"/>
    </row>
    <row r="31" spans="1:23" s="2" customFormat="1" ht="15.75" hidden="1" thickTop="1" x14ac:dyDescent="0.25">
      <c r="A31" s="156"/>
      <c r="B31"/>
      <c r="C31" s="129" t="s">
        <v>10</v>
      </c>
      <c r="D31" s="51"/>
      <c r="E31" s="51"/>
      <c r="F31" s="10"/>
      <c r="G31" s="7"/>
      <c r="H31" s="385"/>
      <c r="I31" s="44"/>
      <c r="J31" s="386"/>
      <c r="N31" s="1"/>
    </row>
    <row r="32" spans="1:23" s="2" customFormat="1" ht="12.75" customHeight="1" thickTop="1" x14ac:dyDescent="0.25">
      <c r="A32" s="156"/>
      <c r="B32"/>
      <c r="C32" s="47" t="s">
        <v>16</v>
      </c>
      <c r="D32" s="32"/>
      <c r="E32" s="32"/>
      <c r="F32" s="267"/>
      <c r="H32" s="179"/>
      <c r="I32" s="44"/>
      <c r="J32" s="387"/>
      <c r="M32" s="276"/>
      <c r="R32" s="276"/>
    </row>
    <row r="33" spans="1:18" s="2" customFormat="1" ht="12.75" customHeight="1" x14ac:dyDescent="0.25">
      <c r="A33" s="156"/>
      <c r="B33"/>
      <c r="C33" s="24" t="s">
        <v>159</v>
      </c>
      <c r="E33" s="51"/>
      <c r="F33" s="10"/>
      <c r="H33" s="241"/>
      <c r="I33" s="181"/>
      <c r="J33" s="63">
        <v>65</v>
      </c>
      <c r="K33" s="9"/>
      <c r="M33" s="271"/>
      <c r="N33" s="273"/>
      <c r="O33" s="273"/>
      <c r="R33" s="276"/>
    </row>
    <row r="34" spans="1:18" s="2" customFormat="1" ht="15" x14ac:dyDescent="0.25">
      <c r="A34" s="156"/>
      <c r="B34"/>
      <c r="C34" s="129" t="s">
        <v>2</v>
      </c>
      <c r="D34" s="51"/>
      <c r="E34" s="51"/>
      <c r="F34" s="10"/>
      <c r="H34" s="58"/>
      <c r="I34" s="181"/>
      <c r="J34" s="332">
        <v>15</v>
      </c>
      <c r="K34" s="9"/>
      <c r="M34" s="271"/>
      <c r="N34" s="273"/>
      <c r="O34" s="273"/>
      <c r="R34" s="276"/>
    </row>
    <row r="35" spans="1:18" s="2" customFormat="1" ht="15" x14ac:dyDescent="0.25">
      <c r="A35" s="156"/>
      <c r="B35"/>
      <c r="C35" s="25" t="s">
        <v>162</v>
      </c>
      <c r="D35" s="51"/>
      <c r="E35" s="51"/>
      <c r="F35" s="10"/>
      <c r="H35" s="58"/>
      <c r="I35" s="181"/>
      <c r="J35" s="332">
        <v>0</v>
      </c>
      <c r="K35" s="9"/>
      <c r="M35" s="271"/>
      <c r="N35" s="273"/>
      <c r="O35" s="273"/>
      <c r="R35" s="276"/>
    </row>
    <row r="36" spans="1:18" s="2" customFormat="1" ht="15" x14ac:dyDescent="0.25">
      <c r="A36" s="156"/>
      <c r="B36"/>
      <c r="C36" s="129" t="s">
        <v>3</v>
      </c>
      <c r="D36" s="51"/>
      <c r="E36" s="51"/>
      <c r="F36" s="10"/>
      <c r="H36" s="58"/>
      <c r="I36" s="181"/>
      <c r="J36" s="332">
        <v>6</v>
      </c>
      <c r="K36" s="9"/>
      <c r="M36" s="271"/>
      <c r="R36" s="276"/>
    </row>
    <row r="37" spans="1:18" s="2" customFormat="1" ht="15" x14ac:dyDescent="0.25">
      <c r="A37" s="156"/>
      <c r="B37"/>
      <c r="C37" s="129" t="s">
        <v>4</v>
      </c>
      <c r="D37" s="51"/>
      <c r="E37" s="51"/>
      <c r="F37" s="10"/>
      <c r="H37" s="60"/>
      <c r="I37" s="29"/>
      <c r="J37" s="332">
        <v>4</v>
      </c>
      <c r="K37" s="8"/>
      <c r="M37" s="271"/>
      <c r="N37" s="1"/>
      <c r="R37" s="276"/>
    </row>
    <row r="38" spans="1:18" s="2" customFormat="1" ht="15" x14ac:dyDescent="0.25">
      <c r="A38" s="156"/>
      <c r="B38"/>
      <c r="C38" s="407" t="s">
        <v>9</v>
      </c>
      <c r="D38" s="408"/>
      <c r="E38" s="408"/>
      <c r="F38" s="409"/>
      <c r="H38" s="239"/>
      <c r="I38" s="44"/>
      <c r="J38" s="332"/>
      <c r="M38" s="271"/>
      <c r="N38" s="276"/>
      <c r="R38" s="276"/>
    </row>
    <row r="39" spans="1:18" s="2" customFormat="1" ht="15" x14ac:dyDescent="0.25">
      <c r="A39" s="156"/>
      <c r="B39"/>
      <c r="C39" s="48" t="s">
        <v>17</v>
      </c>
      <c r="D39" s="52"/>
      <c r="E39" s="52"/>
      <c r="F39" s="337" t="s">
        <v>192</v>
      </c>
      <c r="H39" s="183"/>
      <c r="I39" s="29"/>
      <c r="J39" s="333"/>
      <c r="K39" s="8"/>
      <c r="M39" s="271"/>
      <c r="N39" s="1"/>
      <c r="R39" s="276"/>
    </row>
    <row r="40" spans="1:18" s="2" customFormat="1" ht="15" x14ac:dyDescent="0.2">
      <c r="A40" s="156"/>
      <c r="B40"/>
      <c r="C40" s="15" t="s">
        <v>163</v>
      </c>
      <c r="D40" s="184"/>
      <c r="E40" s="184"/>
      <c r="F40" s="40">
        <v>0.05</v>
      </c>
      <c r="H40" s="134">
        <f>F40*H15</f>
        <v>1</v>
      </c>
      <c r="I40" s="135"/>
      <c r="J40" s="137">
        <f ca="1">F40*J17</f>
        <v>1.9420068027451636</v>
      </c>
      <c r="K40" s="11"/>
      <c r="M40" s="328"/>
      <c r="R40" s="276"/>
    </row>
    <row r="41" spans="1:18" s="2" customFormat="1" ht="15" x14ac:dyDescent="0.25">
      <c r="A41" s="156"/>
      <c r="B41"/>
      <c r="C41" s="129" t="s">
        <v>3</v>
      </c>
      <c r="D41" s="51"/>
      <c r="E41" s="51"/>
      <c r="F41" s="10"/>
      <c r="H41" s="60">
        <v>6</v>
      </c>
      <c r="I41" s="181"/>
      <c r="J41" s="332">
        <v>11</v>
      </c>
      <c r="K41" s="9"/>
      <c r="M41" s="271"/>
      <c r="R41" s="276"/>
    </row>
    <row r="42" spans="1:18" s="2" customFormat="1" ht="15" x14ac:dyDescent="0.25">
      <c r="A42" s="156"/>
      <c r="B42"/>
      <c r="C42" s="129" t="s">
        <v>9</v>
      </c>
      <c r="F42" s="10"/>
      <c r="H42" s="60"/>
      <c r="I42" s="181"/>
      <c r="J42" s="332"/>
      <c r="K42" s="9"/>
      <c r="M42" s="271"/>
      <c r="R42" s="276"/>
    </row>
    <row r="43" spans="1:18" s="186" customFormat="1" ht="12.75" customHeight="1" x14ac:dyDescent="0.25">
      <c r="A43" s="185"/>
      <c r="B43" s="69"/>
      <c r="C43" s="3" t="s">
        <v>4</v>
      </c>
      <c r="D43" s="2"/>
      <c r="E43" s="2"/>
      <c r="F43" s="187"/>
      <c r="G43" s="69"/>
      <c r="H43" s="242">
        <v>15</v>
      </c>
      <c r="I43" s="45"/>
      <c r="J43" s="334">
        <v>15</v>
      </c>
      <c r="K43" s="28"/>
      <c r="M43" s="271"/>
      <c r="N43" s="2"/>
      <c r="R43" s="276"/>
    </row>
    <row r="44" spans="1:18" s="39" customFormat="1" ht="15.75" thickBot="1" x14ac:dyDescent="0.3">
      <c r="A44" s="188"/>
      <c r="B44" s="189"/>
      <c r="C44" s="102" t="s">
        <v>14</v>
      </c>
      <c r="D44" s="190"/>
      <c r="E44" s="191"/>
      <c r="F44" s="338"/>
      <c r="G44" s="100"/>
      <c r="H44" s="103">
        <f>SUM(H31:H43)</f>
        <v>22</v>
      </c>
      <c r="I44" s="104"/>
      <c r="J44" s="68">
        <f ca="1">SUM(J31:J43)</f>
        <v>117.94200680274517</v>
      </c>
      <c r="K44" s="104"/>
    </row>
    <row r="45" spans="1:18" s="2" customFormat="1" ht="13.5" thickTop="1" x14ac:dyDescent="0.2">
      <c r="A45" s="156"/>
      <c r="B45"/>
      <c r="C45" s="195"/>
      <c r="D45" s="186"/>
      <c r="E45" s="186"/>
      <c r="F45" s="10"/>
      <c r="H45" s="38"/>
      <c r="I45" s="29"/>
      <c r="J45" s="198"/>
      <c r="K45" s="29"/>
      <c r="M45" s="166"/>
    </row>
    <row r="46" spans="1:18" s="2" customFormat="1" x14ac:dyDescent="0.2">
      <c r="A46" s="156"/>
      <c r="B46"/>
      <c r="C46" s="3" t="s">
        <v>13</v>
      </c>
      <c r="F46" s="10"/>
      <c r="H46" s="88">
        <f>H15*$F9</f>
        <v>115</v>
      </c>
      <c r="I46" s="49"/>
      <c r="J46" s="50">
        <f ca="1">J17*$F9</f>
        <v>223.3307823156938</v>
      </c>
      <c r="K46" s="90"/>
      <c r="M46" s="166"/>
    </row>
    <row r="47" spans="1:18" s="2" customFormat="1" x14ac:dyDescent="0.2">
      <c r="A47" s="156"/>
      <c r="B47"/>
      <c r="C47" s="3" t="s">
        <v>6</v>
      </c>
      <c r="F47" s="10"/>
      <c r="H47" s="88">
        <f>IF(H29="Yes",0,IF(InsSelc="Yield Protection",AsIsYPInds,AsIsRPInds))</f>
        <v>189.2</v>
      </c>
      <c r="I47" s="49"/>
      <c r="J47" s="50">
        <f ca="1">IF(InsSelc="Yield Protection",RepYPIndc,RepRPIndc)</f>
        <v>0</v>
      </c>
      <c r="K47" s="39"/>
      <c r="M47" s="165"/>
    </row>
    <row r="48" spans="1:18" s="2" customFormat="1" x14ac:dyDescent="0.2">
      <c r="A48" s="156"/>
      <c r="B48"/>
      <c r="C48" s="3" t="s">
        <v>5</v>
      </c>
      <c r="F48" s="10"/>
      <c r="H48" s="88"/>
      <c r="I48" s="49"/>
      <c r="J48" s="50"/>
      <c r="K48" s="90"/>
      <c r="M48" s="169"/>
    </row>
    <row r="49" spans="1:14" s="199" customFormat="1" ht="15" x14ac:dyDescent="0.35">
      <c r="A49" s="176"/>
      <c r="B49" s="1"/>
      <c r="C49" s="55" t="s">
        <v>7</v>
      </c>
      <c r="D49" s="56"/>
      <c r="E49" s="56"/>
      <c r="F49" s="57"/>
      <c r="G49" s="1"/>
      <c r="H49" s="91"/>
      <c r="I49" s="92"/>
      <c r="J49" s="335">
        <f>IF(AND(F14&gt;N20-1,F15&lt;PractPercent*J28),RPltInds*J11,0)</f>
        <v>41.28</v>
      </c>
      <c r="K49" s="96"/>
      <c r="M49" s="322"/>
      <c r="N49" s="2"/>
    </row>
    <row r="50" spans="1:14" s="199" customFormat="1" ht="15.75" thickBot="1" x14ac:dyDescent="0.3">
      <c r="A50" s="156"/>
      <c r="B50"/>
      <c r="C50" s="341" t="s">
        <v>15</v>
      </c>
      <c r="D50" s="64"/>
      <c r="E50" s="65"/>
      <c r="F50" s="339"/>
      <c r="G50" s="70"/>
      <c r="H50" s="97">
        <f>SUM(H46:H49)</f>
        <v>304.2</v>
      </c>
      <c r="I50" s="98"/>
      <c r="J50" s="101">
        <f ca="1">SUM(J46:J49)</f>
        <v>264.61078231569377</v>
      </c>
      <c r="K50" s="100"/>
      <c r="M50" s="322"/>
      <c r="N50" s="2"/>
    </row>
    <row r="51" spans="1:14" s="39" customFormat="1" ht="16.5" thickTop="1" thickBot="1" x14ac:dyDescent="0.3">
      <c r="A51" s="188"/>
      <c r="B51" s="189"/>
      <c r="C51" s="342" t="s">
        <v>19</v>
      </c>
      <c r="D51" s="106"/>
      <c r="E51" s="107"/>
      <c r="F51" s="340"/>
      <c r="G51" s="100"/>
      <c r="H51" s="109">
        <f>H50-H44-IF(H29="yes",0,F21)</f>
        <v>262.2</v>
      </c>
      <c r="I51" s="110"/>
      <c r="J51" s="113">
        <f ca="1">J50-J44</f>
        <v>146.6687755129486</v>
      </c>
      <c r="K51" s="100"/>
    </row>
    <row r="52" spans="1:14" s="2" customFormat="1" x14ac:dyDescent="0.2">
      <c r="A52" s="156"/>
      <c r="B52"/>
      <c r="C52" s="30"/>
      <c r="D52" s="14"/>
      <c r="E52" s="14"/>
      <c r="H52" s="31"/>
      <c r="I52" s="31"/>
      <c r="J52" s="31"/>
      <c r="K52" s="12"/>
      <c r="M52" s="166"/>
    </row>
    <row r="53" spans="1:14" ht="14.25" x14ac:dyDescent="0.2">
      <c r="C53" s="16"/>
      <c r="D53" s="16"/>
      <c r="E53" s="16"/>
      <c r="H53" s="30"/>
      <c r="I53" s="30"/>
      <c r="J53" s="30"/>
      <c r="K53" s="30"/>
      <c r="M53" s="166"/>
      <c r="N53" s="2"/>
    </row>
    <row r="54" spans="1:14" ht="14.25" x14ac:dyDescent="0.2">
      <c r="C54" s="16"/>
      <c r="D54" s="16"/>
      <c r="E54" s="16"/>
      <c r="H54" s="200"/>
      <c r="I54" s="200"/>
      <c r="J54" s="200"/>
      <c r="M54" s="166"/>
      <c r="N54" s="2"/>
    </row>
    <row r="55" spans="1:14" ht="14.25" x14ac:dyDescent="0.2">
      <c r="C55" s="16"/>
      <c r="D55" s="16"/>
      <c r="E55" s="16"/>
      <c r="M55" s="166"/>
      <c r="N55" s="2"/>
    </row>
    <row r="56" spans="1:14" s="201" customFormat="1" ht="14.25" x14ac:dyDescent="0.2">
      <c r="A56" s="156"/>
      <c r="C56" s="202"/>
      <c r="D56" s="202"/>
      <c r="E56" s="202"/>
      <c r="F56" s="203"/>
      <c r="G56" s="203"/>
      <c r="H56" s="203"/>
      <c r="I56" s="203"/>
      <c r="J56" s="203"/>
      <c r="M56" s="204"/>
      <c r="N56" s="205"/>
    </row>
    <row r="57" spans="1:14" x14ac:dyDescent="0.2">
      <c r="M57" s="166"/>
      <c r="N57" s="2"/>
    </row>
    <row r="58" spans="1:14" x14ac:dyDescent="0.2">
      <c r="M58" s="166"/>
      <c r="N58" s="2"/>
    </row>
    <row r="59" spans="1:14" x14ac:dyDescent="0.2">
      <c r="M59" s="166"/>
      <c r="N59" s="2"/>
    </row>
    <row r="60" spans="1:14" x14ac:dyDescent="0.2">
      <c r="M60" s="166"/>
      <c r="N60" s="2"/>
    </row>
    <row r="61" spans="1:14" x14ac:dyDescent="0.2">
      <c r="M61" s="166"/>
      <c r="N61" s="2"/>
    </row>
    <row r="62" spans="1:14" x14ac:dyDescent="0.2">
      <c r="M62" s="166"/>
      <c r="N62" s="2"/>
    </row>
    <row r="63" spans="1:14" x14ac:dyDescent="0.2">
      <c r="M63" s="166"/>
      <c r="N63" s="2"/>
    </row>
    <row r="64" spans="1:14" x14ac:dyDescent="0.2">
      <c r="M64" s="166"/>
      <c r="N64" s="2"/>
    </row>
    <row r="65" spans="1:39" x14ac:dyDescent="0.2">
      <c r="M65" s="166"/>
      <c r="N65" s="2"/>
    </row>
    <row r="66" spans="1:39" x14ac:dyDescent="0.2">
      <c r="M66" s="166"/>
      <c r="N66" s="2"/>
    </row>
    <row r="67" spans="1:39" x14ac:dyDescent="0.2">
      <c r="B67" s="13"/>
      <c r="M67" s="166"/>
      <c r="N67" s="2"/>
    </row>
    <row r="68" spans="1:39" s="206" customFormat="1" x14ac:dyDescent="0.2">
      <c r="A68" s="156"/>
      <c r="B68"/>
      <c r="M68" s="207"/>
    </row>
    <row r="69" spans="1:39" s="1" customFormat="1" x14ac:dyDescent="0.2">
      <c r="A69" s="156"/>
      <c r="B69"/>
      <c r="M69" s="166"/>
      <c r="N69" s="2"/>
    </row>
    <row r="70" spans="1:39" s="1" customFormat="1" x14ac:dyDescent="0.2">
      <c r="A70" s="176"/>
      <c r="C70" s="34"/>
      <c r="D70" s="34"/>
      <c r="E70" s="34"/>
      <c r="M70" s="166"/>
      <c r="N70" s="2"/>
      <c r="O70"/>
      <c r="Y70"/>
      <c r="Z70"/>
      <c r="AA70"/>
      <c r="AB70"/>
      <c r="AC70"/>
      <c r="AD70"/>
    </row>
    <row r="71" spans="1:39" s="1" customFormat="1" ht="14.25" x14ac:dyDescent="0.2">
      <c r="A71" s="176"/>
      <c r="C71" s="35"/>
      <c r="D71" s="35"/>
      <c r="E71" s="35"/>
      <c r="M71" s="166"/>
      <c r="N71" s="2"/>
      <c r="O71"/>
      <c r="P71"/>
      <c r="Q71"/>
      <c r="R71"/>
      <c r="S71"/>
      <c r="T71"/>
      <c r="U71"/>
      <c r="V71"/>
      <c r="X71"/>
      <c r="Y71"/>
      <c r="Z71"/>
      <c r="AA71"/>
      <c r="AB71"/>
      <c r="AC71" s="18"/>
      <c r="AD71" s="208"/>
      <c r="AE71" s="208"/>
      <c r="AF71" s="18"/>
    </row>
    <row r="72" spans="1:39" s="36" customFormat="1" x14ac:dyDescent="0.2">
      <c r="A72" s="149"/>
      <c r="C72" s="410"/>
      <c r="D72" s="410"/>
      <c r="E72" s="410"/>
      <c r="F72" s="410"/>
      <c r="J72" s="209"/>
      <c r="M72" s="166"/>
      <c r="N72" s="2"/>
      <c r="O72"/>
      <c r="P72"/>
      <c r="Q72"/>
      <c r="R72"/>
      <c r="S72"/>
      <c r="T72"/>
      <c r="U72"/>
      <c r="V72"/>
      <c r="X72"/>
      <c r="Y72"/>
      <c r="Z72"/>
      <c r="AA72"/>
      <c r="AC72" s="155"/>
      <c r="AD72" s="208"/>
      <c r="AE72" s="208"/>
      <c r="AF72" s="155"/>
      <c r="AM72"/>
    </row>
    <row r="73" spans="1:39" x14ac:dyDescent="0.2">
      <c r="M73" s="166"/>
      <c r="N73" s="2"/>
      <c r="T73" s="36"/>
      <c r="AC73" s="155"/>
      <c r="AD73" s="208"/>
      <c r="AE73" s="208"/>
      <c r="AF73" s="155"/>
    </row>
    <row r="74" spans="1:39" x14ac:dyDescent="0.2">
      <c r="M74" s="166"/>
      <c r="N74" s="2"/>
      <c r="Q74" s="210"/>
      <c r="T74" s="36"/>
      <c r="AC74" s="155"/>
      <c r="AD74" s="208"/>
      <c r="AE74" s="208"/>
      <c r="AF74" s="155"/>
      <c r="AM74" s="211"/>
    </row>
    <row r="75" spans="1:39" x14ac:dyDescent="0.2">
      <c r="M75" s="166"/>
      <c r="N75" s="2"/>
      <c r="Q75" s="210"/>
      <c r="AB75" s="212"/>
      <c r="AC75" s="212"/>
      <c r="AD75" s="119"/>
      <c r="AE75" s="119"/>
      <c r="AF75" s="212"/>
      <c r="AG75" s="212"/>
      <c r="AJ75" s="211"/>
    </row>
    <row r="76" spans="1:39" x14ac:dyDescent="0.2">
      <c r="C76" s="213"/>
      <c r="D76" s="213"/>
      <c r="E76" s="213"/>
      <c r="F76" s="214"/>
      <c r="G76" s="214"/>
      <c r="H76" s="214"/>
      <c r="I76" s="214"/>
      <c r="J76" s="214"/>
      <c r="M76" s="166"/>
      <c r="N76" s="2"/>
      <c r="P76" s="30"/>
      <c r="Q76" s="30"/>
      <c r="R76" s="30"/>
      <c r="S76" s="30"/>
      <c r="T76" s="30"/>
      <c r="U76" s="30"/>
      <c r="V76" s="30"/>
      <c r="W76" s="30"/>
      <c r="X76" s="30"/>
      <c r="AB76" s="215"/>
      <c r="AC76" s="212"/>
      <c r="AD76" s="212"/>
      <c r="AE76" s="212"/>
      <c r="AF76" s="212"/>
      <c r="AG76" s="212"/>
    </row>
    <row r="77" spans="1:39" ht="12.75" customHeight="1" x14ac:dyDescent="0.2">
      <c r="M77" s="166"/>
      <c r="N77" s="2"/>
      <c r="Q77" s="210"/>
      <c r="AB77" s="212"/>
      <c r="AC77" s="212"/>
      <c r="AF77" s="212"/>
      <c r="AG77" s="212"/>
    </row>
    <row r="78" spans="1:39" x14ac:dyDescent="0.2">
      <c r="M78" s="166"/>
      <c r="N78" s="2"/>
      <c r="P78" s="1"/>
      <c r="Q78" s="216"/>
      <c r="R78" s="216"/>
      <c r="X78" s="1"/>
      <c r="Y78" s="216"/>
      <c r="Z78" s="216"/>
      <c r="AB78" s="212"/>
      <c r="AC78" s="212"/>
      <c r="AF78" s="212"/>
      <c r="AG78" s="212"/>
      <c r="AJ78" s="212"/>
    </row>
    <row r="79" spans="1:39" ht="12.75" customHeight="1" x14ac:dyDescent="0.2">
      <c r="M79" s="166"/>
      <c r="N79" s="2"/>
      <c r="Q79" s="210"/>
      <c r="AB79" s="212"/>
      <c r="AC79" s="212"/>
      <c r="AD79" s="217"/>
      <c r="AF79" s="212"/>
      <c r="AG79" s="212"/>
    </row>
    <row r="80" spans="1:39" x14ac:dyDescent="0.2">
      <c r="F80" s="30" t="s">
        <v>151</v>
      </c>
      <c r="G80" s="220" t="str">
        <f>VLOOKUP(D5,RMAData!A3:D117,2)</f>
        <v>Central and North MO</v>
      </c>
      <c r="M80" s="166"/>
      <c r="N80" s="2"/>
      <c r="Q80" s="210"/>
      <c r="T80" s="218"/>
      <c r="AB80" s="212"/>
      <c r="AC80" s="212"/>
      <c r="AD80" s="219"/>
      <c r="AE80" s="212"/>
      <c r="AF80" s="212"/>
      <c r="AG80" s="212"/>
    </row>
    <row r="81" spans="1:50" ht="14.25" x14ac:dyDescent="0.2">
      <c r="C81" s="1"/>
      <c r="D81" s="16"/>
      <c r="E81" s="16"/>
      <c r="H81" s="30"/>
      <c r="I81" s="30"/>
      <c r="J81" s="30"/>
      <c r="K81" s="30"/>
      <c r="M81" s="166"/>
      <c r="N81" s="2"/>
      <c r="Q81" s="220"/>
      <c r="AC81" s="155"/>
      <c r="AD81" s="212"/>
      <c r="AE81" s="221"/>
      <c r="AF81" s="155"/>
    </row>
    <row r="82" spans="1:50" s="4" customFormat="1" ht="14.25" x14ac:dyDescent="0.2">
      <c r="A82" s="176"/>
      <c r="B82" s="1"/>
      <c r="D82" s="16"/>
      <c r="E82" s="16"/>
      <c r="F82" s="42"/>
      <c r="G82"/>
      <c r="H82" s="189"/>
      <c r="I82" s="189"/>
      <c r="J82" s="189"/>
      <c r="K82"/>
      <c r="L82"/>
      <c r="M82" s="166"/>
      <c r="N82" s="2"/>
      <c r="O82"/>
      <c r="P82"/>
      <c r="Q82"/>
      <c r="R82"/>
      <c r="S82"/>
      <c r="T82"/>
      <c r="U82"/>
      <c r="V82"/>
      <c r="X82"/>
      <c r="Y82"/>
      <c r="Z82"/>
      <c r="AA82"/>
      <c r="AB82"/>
      <c r="AC82"/>
      <c r="AD82"/>
      <c r="AI82"/>
      <c r="AJ82"/>
      <c r="AK82"/>
      <c r="AL82"/>
      <c r="AM82"/>
    </row>
    <row r="83" spans="1:50" s="4" customFormat="1" ht="12.75" customHeight="1" x14ac:dyDescent="0.2">
      <c r="A83" s="222"/>
      <c r="D83" s="16"/>
      <c r="E83" s="16"/>
      <c r="F83" s="296" t="s">
        <v>219</v>
      </c>
      <c r="G83"/>
      <c r="H83" s="30" t="s">
        <v>194</v>
      </c>
      <c r="I83" s="189"/>
      <c r="J83" s="189"/>
      <c r="K83"/>
      <c r="L83"/>
      <c r="M83" s="166"/>
      <c r="N83" s="2"/>
      <c r="O83"/>
      <c r="P83"/>
      <c r="Q83"/>
      <c r="R83"/>
      <c r="S83"/>
      <c r="T83"/>
      <c r="U83"/>
      <c r="V83"/>
      <c r="X83"/>
      <c r="Y83"/>
      <c r="Z83"/>
      <c r="AA83"/>
      <c r="AB83"/>
      <c r="AC83"/>
      <c r="AD83" s="1" t="s">
        <v>153</v>
      </c>
      <c r="AG83" s="1" t="s">
        <v>154</v>
      </c>
      <c r="AI83"/>
      <c r="AJ83"/>
      <c r="AK83"/>
      <c r="AL83"/>
      <c r="AM83"/>
      <c r="AP83" s="1"/>
      <c r="AQ83" s="1"/>
      <c r="AR83" s="1"/>
      <c r="AS83" s="1"/>
      <c r="AT83" s="1"/>
      <c r="AU83" s="1"/>
      <c r="AV83" s="1"/>
      <c r="AW83" s="1"/>
      <c r="AX83" s="1"/>
    </row>
    <row r="84" spans="1:50" s="4" customFormat="1" ht="14.25" x14ac:dyDescent="0.2">
      <c r="A84" s="222"/>
      <c r="D84" s="16"/>
      <c r="E84" s="16"/>
      <c r="F84" s="223" t="s">
        <v>26</v>
      </c>
      <c r="G84"/>
      <c r="H84" s="189">
        <f>MAX(0,(H28-H15)*H11)</f>
        <v>189.2</v>
      </c>
      <c r="I84" s="189"/>
      <c r="J84" s="200">
        <f ca="1">MAX(0,(J28-J17)*J11)</f>
        <v>0</v>
      </c>
      <c r="K84"/>
      <c r="L84"/>
      <c r="M84" s="39"/>
      <c r="N84" s="2"/>
      <c r="O84"/>
      <c r="P84" s="6"/>
      <c r="Q84" s="155"/>
      <c r="R84" s="155"/>
      <c r="S84"/>
      <c r="T84"/>
      <c r="U84"/>
      <c r="V84"/>
      <c r="X84" s="220"/>
      <c r="Y84" s="155"/>
      <c r="Z84" s="155"/>
      <c r="AA84"/>
      <c r="AB84"/>
      <c r="AC84"/>
      <c r="AD84" s="171">
        <v>1</v>
      </c>
      <c r="AG84" s="224">
        <v>0.85</v>
      </c>
      <c r="AI84"/>
      <c r="AJ84"/>
      <c r="AK84"/>
      <c r="AL84"/>
      <c r="AM84"/>
      <c r="AP84" s="189"/>
      <c r="AQ84" s="220"/>
      <c r="AR84" s="189"/>
      <c r="AS84" s="220"/>
      <c r="AT84" s="189"/>
      <c r="AU84"/>
      <c r="AV84"/>
      <c r="AW84"/>
      <c r="AX84"/>
    </row>
    <row r="85" spans="1:50" s="4" customFormat="1" ht="14.25" x14ac:dyDescent="0.2">
      <c r="A85" s="222"/>
      <c r="D85" s="16"/>
      <c r="E85" s="16"/>
      <c r="F85" s="223" t="s">
        <v>150</v>
      </c>
      <c r="G85"/>
      <c r="H85" s="189">
        <f>MAX(0,(H28*MAX(IndemPs,MIN(IndemPs*2,$F$10))-H15*$F$10))</f>
        <v>354.4</v>
      </c>
      <c r="I85" s="189"/>
      <c r="J85" s="189">
        <f ca="1">MAX(0,(J28*MAX(IndemPc,MIN(IndemPc*2,$F$10))-J17*$F$10))</f>
        <v>0</v>
      </c>
      <c r="K85"/>
      <c r="L85"/>
      <c r="M85" s="39"/>
      <c r="N85" s="2"/>
      <c r="O85"/>
      <c r="P85" s="6"/>
      <c r="Q85" s="155"/>
      <c r="R85" s="155"/>
      <c r="S85"/>
      <c r="T85"/>
      <c r="U85"/>
      <c r="V85"/>
      <c r="X85" s="220"/>
      <c r="Y85" s="155"/>
      <c r="Z85" s="155"/>
      <c r="AA85"/>
      <c r="AB85"/>
      <c r="AC85"/>
      <c r="AD85" s="171">
        <v>0.99</v>
      </c>
      <c r="AG85" s="224">
        <v>0.8</v>
      </c>
      <c r="AI85"/>
      <c r="AJ85"/>
      <c r="AK85"/>
      <c r="AL85"/>
      <c r="AM85"/>
      <c r="AP85" s="189"/>
      <c r="AQ85" s="220"/>
      <c r="AR85"/>
      <c r="AS85" s="220"/>
      <c r="AT85"/>
      <c r="AU85"/>
      <c r="AV85"/>
      <c r="AW85"/>
      <c r="AX85"/>
    </row>
    <row r="86" spans="1:50" s="4" customFormat="1" ht="14.25" x14ac:dyDescent="0.2">
      <c r="A86" s="222"/>
      <c r="D86" s="16"/>
      <c r="E86" s="16"/>
      <c r="F86" s="223" t="s">
        <v>229</v>
      </c>
      <c r="G86"/>
      <c r="H86" s="200"/>
      <c r="I86" s="200"/>
      <c r="J86" s="200"/>
      <c r="K86"/>
      <c r="L86"/>
      <c r="M86" s="39"/>
      <c r="N86" s="2"/>
      <c r="O86"/>
      <c r="P86" s="6"/>
      <c r="Q86" s="155"/>
      <c r="R86" s="155"/>
      <c r="S86"/>
      <c r="T86"/>
      <c r="U86"/>
      <c r="V86"/>
      <c r="X86" s="220"/>
      <c r="Y86" s="155"/>
      <c r="Z86" s="155"/>
      <c r="AA86"/>
      <c r="AB86"/>
      <c r="AC86"/>
      <c r="AD86" s="171">
        <v>0.98</v>
      </c>
      <c r="AG86" s="224">
        <v>0.75</v>
      </c>
      <c r="AI86"/>
      <c r="AJ86"/>
      <c r="AK86"/>
      <c r="AL86"/>
      <c r="AM86"/>
      <c r="AP86" s="189"/>
      <c r="AQ86" s="220"/>
      <c r="AR86"/>
      <c r="AS86" s="220"/>
      <c r="AT86"/>
      <c r="AU86"/>
      <c r="AV86"/>
      <c r="AW86"/>
      <c r="AX86"/>
    </row>
    <row r="87" spans="1:50" s="4" customFormat="1" x14ac:dyDescent="0.2">
      <c r="A87" s="222"/>
      <c r="C87"/>
      <c r="D87"/>
      <c r="E87"/>
      <c r="F87"/>
      <c r="G87"/>
      <c r="H87"/>
      <c r="I87"/>
      <c r="J87"/>
      <c r="K87"/>
      <c r="L87"/>
      <c r="M87" s="166"/>
      <c r="N87" s="2"/>
      <c r="O87"/>
      <c r="P87" s="6"/>
      <c r="Q87" s="155"/>
      <c r="R87" s="155"/>
      <c r="S87"/>
      <c r="T87"/>
      <c r="U87"/>
      <c r="V87"/>
      <c r="X87" s="220"/>
      <c r="Y87" s="155"/>
      <c r="Z87" s="155"/>
      <c r="AA87"/>
      <c r="AB87"/>
      <c r="AC87"/>
      <c r="AD87" s="171">
        <v>0.97</v>
      </c>
      <c r="AG87" s="224">
        <v>0.7</v>
      </c>
      <c r="AI87"/>
      <c r="AJ87"/>
      <c r="AK87"/>
      <c r="AL87"/>
      <c r="AM87"/>
      <c r="AP87" s="189"/>
      <c r="AQ87" s="220"/>
      <c r="AR87"/>
      <c r="AS87" s="220"/>
      <c r="AT87"/>
      <c r="AU87"/>
      <c r="AV87"/>
      <c r="AW87"/>
      <c r="AX87"/>
    </row>
    <row r="88" spans="1:50" s="4" customFormat="1" x14ac:dyDescent="0.2">
      <c r="A88" s="222"/>
      <c r="C88"/>
      <c r="D88"/>
      <c r="E88"/>
      <c r="F88" s="225"/>
      <c r="M88" s="166"/>
      <c r="N88" s="2"/>
      <c r="O88"/>
      <c r="P88" s="6"/>
      <c r="Q88" s="155"/>
      <c r="R88" s="155"/>
      <c r="S88"/>
      <c r="T88"/>
      <c r="U88"/>
      <c r="V88"/>
      <c r="X88" s="220"/>
      <c r="Y88" s="155"/>
      <c r="Z88" s="155"/>
      <c r="AA88"/>
      <c r="AB88"/>
      <c r="AC88"/>
      <c r="AD88" s="171">
        <v>0.96</v>
      </c>
      <c r="AG88" s="224">
        <v>0.65</v>
      </c>
      <c r="AI88"/>
      <c r="AJ88"/>
      <c r="AK88"/>
      <c r="AL88"/>
      <c r="AM88"/>
      <c r="AP88" s="189"/>
      <c r="AQ88" s="220"/>
      <c r="AR88"/>
      <c r="AS88" s="220"/>
      <c r="AT88"/>
      <c r="AU88"/>
      <c r="AV88"/>
      <c r="AW88"/>
      <c r="AX88"/>
    </row>
    <row r="89" spans="1:50" s="4" customFormat="1" x14ac:dyDescent="0.2">
      <c r="A89" s="222"/>
      <c r="C89"/>
      <c r="D89"/>
      <c r="E89"/>
      <c r="F89" s="30"/>
      <c r="G89" s="1"/>
      <c r="H89" s="1"/>
      <c r="I89" s="1"/>
      <c r="J89" s="1"/>
      <c r="K89" s="1"/>
      <c r="L89" s="1"/>
      <c r="M89" s="166"/>
      <c r="N89" s="2"/>
      <c r="O89"/>
      <c r="P89" s="6"/>
      <c r="Q89" s="155"/>
      <c r="R89" s="155"/>
      <c r="S89"/>
      <c r="T89"/>
      <c r="U89"/>
      <c r="V89"/>
      <c r="X89" s="220"/>
      <c r="Y89" s="155"/>
      <c r="Z89" s="155"/>
      <c r="AA89"/>
      <c r="AB89"/>
      <c r="AC89"/>
      <c r="AD89" s="171">
        <v>0.95</v>
      </c>
      <c r="AG89" s="224">
        <v>0.6</v>
      </c>
      <c r="AI89"/>
      <c r="AJ89"/>
      <c r="AK89"/>
      <c r="AL89"/>
      <c r="AM89"/>
      <c r="AP89" s="189"/>
      <c r="AQ89" s="220"/>
      <c r="AR89"/>
      <c r="AS89" s="220"/>
      <c r="AT89"/>
      <c r="AU89"/>
      <c r="AV89"/>
      <c r="AW89"/>
      <c r="AX89"/>
    </row>
    <row r="90" spans="1:50" s="4" customFormat="1" x14ac:dyDescent="0.2">
      <c r="A90" s="222"/>
      <c r="C90" s="226"/>
      <c r="D90" s="227"/>
      <c r="E90" s="227"/>
      <c r="F90" s="42"/>
      <c r="H90" s="280"/>
      <c r="I90" s="5"/>
      <c r="J90" s="46"/>
      <c r="K90" s="5"/>
      <c r="M90" s="166"/>
      <c r="N90" s="2"/>
      <c r="O90"/>
      <c r="P90" s="6"/>
      <c r="Q90" s="155"/>
      <c r="R90" s="155"/>
      <c r="S90"/>
      <c r="T90"/>
      <c r="U90"/>
      <c r="V90"/>
      <c r="X90" s="220"/>
      <c r="Y90" s="155"/>
      <c r="Z90" s="155"/>
      <c r="AA90"/>
      <c r="AB90"/>
      <c r="AC90"/>
      <c r="AD90" s="171">
        <v>0.94</v>
      </c>
      <c r="AG90" s="224">
        <v>0.55000000000000004</v>
      </c>
      <c r="AI90"/>
      <c r="AJ90"/>
      <c r="AK90"/>
      <c r="AL90"/>
      <c r="AM90"/>
      <c r="AP90" s="189"/>
      <c r="AQ90" s="220"/>
      <c r="AS90" s="220"/>
      <c r="AU90"/>
      <c r="AV90"/>
      <c r="AW90"/>
      <c r="AX90"/>
    </row>
    <row r="91" spans="1:50" s="4" customFormat="1" x14ac:dyDescent="0.2">
      <c r="A91" s="222"/>
      <c r="C91" s="226"/>
      <c r="D91" s="227"/>
      <c r="E91" s="227"/>
      <c r="I91" s="5"/>
      <c r="J91" s="46"/>
      <c r="K91" s="5"/>
      <c r="M91" s="166"/>
      <c r="N91" s="2"/>
      <c r="O91"/>
      <c r="P91" s="6"/>
      <c r="Q91" s="155"/>
      <c r="R91" s="155"/>
      <c r="S91"/>
      <c r="T91"/>
      <c r="U91"/>
      <c r="V91"/>
      <c r="X91" s="220"/>
      <c r="Y91" s="155"/>
      <c r="Z91" s="155"/>
      <c r="AA91"/>
      <c r="AB91"/>
      <c r="AC91"/>
      <c r="AD91" s="171">
        <v>0.93</v>
      </c>
      <c r="AG91" s="224">
        <v>0.5</v>
      </c>
      <c r="AJ91" s="228"/>
      <c r="AK91" s="229"/>
      <c r="AL91" s="230"/>
      <c r="AM91" s="1"/>
      <c r="AP91" s="189"/>
      <c r="AQ91" s="220"/>
      <c r="AS91" s="220"/>
      <c r="AU91"/>
      <c r="AV91"/>
      <c r="AW91"/>
      <c r="AX91"/>
    </row>
    <row r="92" spans="1:50" s="4" customFormat="1" x14ac:dyDescent="0.2">
      <c r="A92" s="222"/>
      <c r="D92" s="227"/>
      <c r="E92" s="227"/>
      <c r="F92" s="226" t="s">
        <v>230</v>
      </c>
      <c r="H92" s="5"/>
      <c r="I92" s="5"/>
      <c r="J92" s="46"/>
      <c r="K92" s="5"/>
      <c r="M92" s="166"/>
      <c r="N92" s="2"/>
      <c r="O92"/>
      <c r="P92" s="6"/>
      <c r="Q92" s="155"/>
      <c r="R92" s="155"/>
      <c r="S92"/>
      <c r="T92"/>
      <c r="U92"/>
      <c r="V92"/>
      <c r="X92" s="220"/>
      <c r="Y92" s="155"/>
      <c r="Z92" s="155"/>
      <c r="AA92"/>
      <c r="AB92"/>
      <c r="AC92"/>
      <c r="AD92" s="171">
        <v>0.92</v>
      </c>
      <c r="AG92" s="224"/>
      <c r="AJ92" s="228"/>
      <c r="AK92" s="229"/>
      <c r="AL92" s="230"/>
      <c r="AM92" s="1"/>
      <c r="AP92" s="189"/>
      <c r="AQ92" s="220"/>
      <c r="AS92" s="220"/>
      <c r="AU92"/>
      <c r="AV92"/>
      <c r="AW92"/>
      <c r="AX92"/>
    </row>
    <row r="93" spans="1:50" s="4" customFormat="1" ht="14.25" x14ac:dyDescent="0.2">
      <c r="A93" s="222"/>
      <c r="D93" s="16"/>
      <c r="E93" s="16"/>
      <c r="F93" s="1" t="s">
        <v>0</v>
      </c>
      <c r="G93"/>
      <c r="H93">
        <v>8</v>
      </c>
      <c r="I93"/>
      <c r="J93"/>
      <c r="K93"/>
      <c r="M93" s="166"/>
      <c r="N93" s="2"/>
      <c r="O93"/>
      <c r="P93" s="6"/>
      <c r="Q93" s="155"/>
      <c r="R93" s="155"/>
      <c r="S93"/>
      <c r="T93"/>
      <c r="U93"/>
      <c r="V93"/>
      <c r="X93" s="220"/>
      <c r="Y93" s="155"/>
      <c r="Z93" s="155"/>
      <c r="AA93"/>
      <c r="AB93"/>
      <c r="AC93"/>
      <c r="AD93" s="171">
        <v>0.91</v>
      </c>
      <c r="AG93" s="224"/>
      <c r="AJ93" s="1"/>
      <c r="AK93"/>
      <c r="AL93"/>
      <c r="AM93" s="1"/>
      <c r="AP93" s="189"/>
      <c r="AQ93" s="220"/>
      <c r="AS93" s="220"/>
      <c r="AU93"/>
      <c r="AV93"/>
      <c r="AW93"/>
      <c r="AX93"/>
    </row>
    <row r="94" spans="1:50" s="4" customFormat="1" ht="14.25" x14ac:dyDescent="0.2">
      <c r="A94" s="222"/>
      <c r="D94" s="16"/>
      <c r="E94" s="16"/>
      <c r="F94" s="1" t="s">
        <v>192</v>
      </c>
      <c r="G94"/>
      <c r="H94">
        <v>3</v>
      </c>
      <c r="I94"/>
      <c r="J94"/>
      <c r="K94"/>
      <c r="M94" s="166"/>
      <c r="N94" s="2"/>
      <c r="O94"/>
      <c r="P94" s="6"/>
      <c r="Q94" s="155"/>
      <c r="R94" s="155"/>
      <c r="S94"/>
      <c r="T94"/>
      <c r="U94"/>
      <c r="V94"/>
      <c r="X94" s="220"/>
      <c r="Y94" s="155"/>
      <c r="Z94" s="155"/>
      <c r="AA94"/>
      <c r="AB94"/>
      <c r="AC94"/>
      <c r="AD94" s="171">
        <v>0.9</v>
      </c>
      <c r="AP94" s="189"/>
      <c r="AQ94" s="220"/>
      <c r="AS94" s="220"/>
      <c r="AU94"/>
      <c r="AV94"/>
      <c r="AW94"/>
      <c r="AX94"/>
    </row>
    <row r="95" spans="1:50" s="4" customFormat="1" x14ac:dyDescent="0.2">
      <c r="A95" s="222"/>
      <c r="G95"/>
      <c r="H95" s="26"/>
      <c r="I95" s="26"/>
      <c r="J95" s="120"/>
      <c r="K95"/>
      <c r="M95" s="166"/>
      <c r="N95" s="2"/>
      <c r="O95"/>
      <c r="P95" s="6"/>
      <c r="Q95" s="155"/>
      <c r="R95" s="155"/>
      <c r="S95"/>
      <c r="T95"/>
      <c r="U95"/>
      <c r="V95"/>
      <c r="X95" s="220"/>
      <c r="Y95" s="155"/>
      <c r="Z95" s="155"/>
      <c r="AA95"/>
      <c r="AB95"/>
      <c r="AC95"/>
      <c r="AD95" s="171">
        <v>0.89</v>
      </c>
      <c r="AP95" s="189"/>
      <c r="AQ95" s="220"/>
      <c r="AS95" s="220"/>
      <c r="AU95"/>
      <c r="AV95"/>
      <c r="AW95"/>
      <c r="AX95"/>
    </row>
    <row r="96" spans="1:50" s="4" customFormat="1" x14ac:dyDescent="0.2">
      <c r="A96" s="222"/>
      <c r="F96" s="1" t="s">
        <v>216</v>
      </c>
      <c r="G96"/>
      <c r="H96"/>
      <c r="I96"/>
      <c r="J96"/>
      <c r="K96"/>
      <c r="M96" s="166"/>
      <c r="N96" s="2"/>
      <c r="O96"/>
      <c r="P96" s="6"/>
      <c r="Q96" s="155"/>
      <c r="R96" s="155"/>
      <c r="S96"/>
      <c r="T96"/>
      <c r="U96"/>
      <c r="V96"/>
      <c r="X96" s="220"/>
      <c r="Y96" s="155"/>
      <c r="Z96" s="155"/>
      <c r="AA96"/>
      <c r="AB96"/>
      <c r="AC96"/>
      <c r="AD96" s="171">
        <v>0.88</v>
      </c>
      <c r="AG96" s="246" t="s">
        <v>176</v>
      </c>
      <c r="AP96" s="189"/>
      <c r="AQ96" s="220"/>
      <c r="AS96" s="220"/>
      <c r="AU96"/>
      <c r="AV96"/>
      <c r="AW96"/>
      <c r="AX96"/>
    </row>
    <row r="97" spans="1:50" s="4" customFormat="1" x14ac:dyDescent="0.2">
      <c r="A97" s="222"/>
      <c r="F97" s="1" t="s">
        <v>217</v>
      </c>
      <c r="H97" s="281">
        <v>0.9</v>
      </c>
      <c r="I97" s="5"/>
      <c r="J97" s="46"/>
      <c r="K97" s="5"/>
      <c r="M97" s="166"/>
      <c r="N97" s="2"/>
      <c r="O97"/>
      <c r="P97" s="6"/>
      <c r="Q97" s="155"/>
      <c r="R97" s="155"/>
      <c r="S97"/>
      <c r="T97"/>
      <c r="U97"/>
      <c r="V97"/>
      <c r="X97" s="220"/>
      <c r="Y97" s="155"/>
      <c r="Z97" s="155"/>
      <c r="AA97"/>
      <c r="AB97"/>
      <c r="AC97"/>
      <c r="AD97" s="171">
        <v>0.87</v>
      </c>
      <c r="AG97" s="246" t="s">
        <v>0</v>
      </c>
      <c r="AN97" s="1"/>
      <c r="AP97" s="189"/>
      <c r="AQ97" s="220"/>
      <c r="AS97" s="220"/>
      <c r="AU97"/>
      <c r="AV97"/>
      <c r="AW97"/>
      <c r="AX97"/>
    </row>
    <row r="98" spans="1:50" s="4" customFormat="1" x14ac:dyDescent="0.2">
      <c r="A98" s="222"/>
      <c r="H98" s="5"/>
      <c r="I98" s="5"/>
      <c r="J98" s="46"/>
      <c r="K98" s="5"/>
      <c r="M98" s="166"/>
      <c r="N98" s="2"/>
      <c r="O98"/>
      <c r="P98" s="6"/>
      <c r="Q98" s="155"/>
      <c r="R98" s="155"/>
      <c r="S98"/>
      <c r="T98"/>
      <c r="U98"/>
      <c r="V98"/>
      <c r="X98" s="220"/>
      <c r="Y98" s="155"/>
      <c r="Z98" s="155"/>
      <c r="AA98"/>
      <c r="AB98"/>
      <c r="AC98"/>
      <c r="AD98" s="171">
        <v>0.86</v>
      </c>
      <c r="AG98" s="224">
        <v>0.55000000000000004</v>
      </c>
      <c r="AP98" s="189"/>
      <c r="AQ98" s="220"/>
      <c r="AS98" s="220"/>
      <c r="AU98"/>
      <c r="AV98"/>
      <c r="AW98"/>
      <c r="AX98"/>
    </row>
    <row r="99" spans="1:50" s="4" customFormat="1" x14ac:dyDescent="0.2">
      <c r="A99" s="222"/>
      <c r="H99" s="5"/>
      <c r="I99" s="5"/>
      <c r="J99" s="46"/>
      <c r="K99" s="5"/>
      <c r="M99" s="166"/>
      <c r="N99" s="2"/>
      <c r="O99"/>
      <c r="P99" s="6"/>
      <c r="Q99" s="155"/>
      <c r="R99" s="155"/>
      <c r="S99"/>
      <c r="T99"/>
      <c r="U99"/>
      <c r="V99"/>
      <c r="X99" s="220"/>
      <c r="Y99" s="155"/>
      <c r="Z99" s="155"/>
      <c r="AA99"/>
      <c r="AB99"/>
      <c r="AC99"/>
      <c r="AD99" s="171">
        <v>0.85</v>
      </c>
      <c r="AG99" s="224">
        <v>0.6</v>
      </c>
      <c r="AJ99" s="228"/>
      <c r="AK99" s="229"/>
      <c r="AL99" s="230"/>
      <c r="AM99" s="1"/>
      <c r="AP99" s="189"/>
      <c r="AQ99" s="220"/>
      <c r="AS99" s="220"/>
      <c r="AU99"/>
      <c r="AV99"/>
      <c r="AW99"/>
      <c r="AX99"/>
    </row>
    <row r="100" spans="1:50" s="4" customFormat="1" x14ac:dyDescent="0.2">
      <c r="A100" s="222"/>
      <c r="F100" s="1" t="s">
        <v>225</v>
      </c>
      <c r="H100" s="280"/>
      <c r="I100" s="5"/>
      <c r="J100" s="46"/>
      <c r="K100" s="5"/>
      <c r="M100" s="166"/>
      <c r="N100" s="2"/>
      <c r="O100"/>
      <c r="P100" s="6"/>
      <c r="Q100" s="155"/>
      <c r="R100" s="155"/>
      <c r="S100"/>
      <c r="T100"/>
      <c r="U100"/>
      <c r="V100"/>
      <c r="X100" s="220"/>
      <c r="Y100" s="155"/>
      <c r="Z100" s="155"/>
      <c r="AA100"/>
      <c r="AB100"/>
      <c r="AC100"/>
      <c r="AD100" s="171">
        <v>0.84</v>
      </c>
      <c r="AG100" s="246" t="s">
        <v>192</v>
      </c>
      <c r="AJ100" s="228"/>
      <c r="AK100" s="229"/>
      <c r="AL100" s="230"/>
      <c r="AM100" s="1"/>
      <c r="AP100" s="189"/>
      <c r="AQ100" s="220"/>
      <c r="AS100" s="220"/>
      <c r="AU100"/>
      <c r="AV100"/>
      <c r="AW100"/>
      <c r="AX100"/>
    </row>
    <row r="101" spans="1:50" s="4" customFormat="1" x14ac:dyDescent="0.2">
      <c r="A101" s="222"/>
      <c r="F101" s="1" t="s">
        <v>226</v>
      </c>
      <c r="H101" s="281">
        <v>0.65</v>
      </c>
      <c r="I101" s="5"/>
      <c r="J101" s="46"/>
      <c r="K101" s="5"/>
      <c r="M101" s="166"/>
      <c r="N101" s="30"/>
      <c r="O101"/>
      <c r="P101"/>
      <c r="Q101" s="1"/>
      <c r="R101"/>
      <c r="S101"/>
      <c r="T101"/>
      <c r="U101"/>
      <c r="V101"/>
      <c r="X101" s="220"/>
      <c r="Y101" s="155"/>
      <c r="Z101" s="155"/>
      <c r="AA101"/>
      <c r="AB101"/>
      <c r="AC101"/>
      <c r="AD101" s="171">
        <v>0.83</v>
      </c>
      <c r="AG101" s="224">
        <v>0.6</v>
      </c>
      <c r="AJ101" s="228"/>
      <c r="AK101" s="229"/>
      <c r="AL101" s="230"/>
      <c r="AM101" s="1"/>
      <c r="AP101" s="189"/>
      <c r="AQ101" s="220"/>
      <c r="AS101" s="220"/>
      <c r="AU101"/>
      <c r="AV101"/>
      <c r="AW101"/>
      <c r="AX101"/>
    </row>
    <row r="102" spans="1:50" s="4" customFormat="1" x14ac:dyDescent="0.2">
      <c r="A102" s="222"/>
      <c r="H102" s="17"/>
      <c r="I102" s="17"/>
      <c r="J102" s="17"/>
      <c r="M102" s="166"/>
      <c r="N102"/>
      <c r="O102" s="30"/>
      <c r="P102" s="30"/>
      <c r="Q102" s="1"/>
      <c r="R102"/>
      <c r="S102"/>
      <c r="T102"/>
      <c r="U102"/>
      <c r="V102"/>
      <c r="X102" s="220"/>
      <c r="Y102" s="155"/>
      <c r="Z102" s="155"/>
      <c r="AA102"/>
      <c r="AB102"/>
      <c r="AC102"/>
      <c r="AD102" s="171">
        <v>0.82</v>
      </c>
      <c r="AG102" s="224">
        <v>0.65</v>
      </c>
      <c r="AM102"/>
      <c r="AP102" s="189"/>
      <c r="AQ102" s="220"/>
      <c r="AS102" s="220"/>
      <c r="AU102"/>
      <c r="AV102"/>
      <c r="AW102"/>
      <c r="AX102"/>
    </row>
    <row r="103" spans="1:50" s="4" customFormat="1" x14ac:dyDescent="0.2">
      <c r="A103" s="222"/>
      <c r="F103" s="1" t="s">
        <v>232</v>
      </c>
      <c r="H103" s="17"/>
      <c r="I103" s="17"/>
      <c r="J103" s="17"/>
      <c r="M103" s="166"/>
      <c r="N103" s="1"/>
      <c r="Q103" s="1"/>
      <c r="R103"/>
      <c r="S103"/>
      <c r="T103"/>
      <c r="U103"/>
      <c r="V103"/>
      <c r="X103" s="220"/>
      <c r="Y103" s="155"/>
      <c r="Z103" s="155"/>
      <c r="AA103"/>
      <c r="AB103"/>
      <c r="AC103"/>
      <c r="AD103" s="171">
        <v>0.81</v>
      </c>
      <c r="AJ103"/>
      <c r="AK103"/>
      <c r="AL103"/>
      <c r="AM103"/>
      <c r="AP103" s="189"/>
      <c r="AQ103" s="220"/>
      <c r="AS103" s="220"/>
      <c r="AU103"/>
      <c r="AV103"/>
      <c r="AW103"/>
      <c r="AX103"/>
    </row>
    <row r="104" spans="1:50" s="4" customFormat="1" x14ac:dyDescent="0.2">
      <c r="A104" s="222"/>
      <c r="F104" s="1" t="s">
        <v>233</v>
      </c>
      <c r="H104" s="323">
        <v>20</v>
      </c>
      <c r="J104" s="17"/>
      <c r="M104" s="166"/>
      <c r="N104" s="228"/>
      <c r="R104"/>
      <c r="S104"/>
      <c r="T104"/>
      <c r="U104"/>
      <c r="V104"/>
      <c r="X104" s="220"/>
      <c r="Y104" s="155"/>
      <c r="Z104" s="155"/>
      <c r="AA104"/>
      <c r="AB104"/>
      <c r="AC104"/>
      <c r="AD104" s="171">
        <v>0.8</v>
      </c>
      <c r="AJ104" s="30"/>
      <c r="AK104" s="1"/>
      <c r="AL104"/>
      <c r="AM104"/>
      <c r="AP104" s="189"/>
      <c r="AQ104" s="220"/>
      <c r="AS104" s="220"/>
      <c r="AU104"/>
      <c r="AV104"/>
      <c r="AW104"/>
      <c r="AX104"/>
    </row>
    <row r="105" spans="1:50" s="4" customFormat="1" x14ac:dyDescent="0.2">
      <c r="A105" s="222"/>
      <c r="F105" s="1" t="s">
        <v>234</v>
      </c>
      <c r="H105" s="323">
        <v>25</v>
      </c>
      <c r="J105" s="17"/>
      <c r="M105" s="166"/>
      <c r="N105" s="1"/>
      <c r="O105" s="231"/>
      <c r="P105" s="231"/>
      <c r="Q105" s="1"/>
      <c r="R105"/>
      <c r="S105"/>
      <c r="T105"/>
      <c r="U105"/>
      <c r="V105"/>
      <c r="X105" s="220"/>
      <c r="Y105" s="155"/>
      <c r="Z105" s="155"/>
      <c r="AA105"/>
      <c r="AB105"/>
      <c r="AC105"/>
      <c r="AD105" s="171">
        <v>0.79</v>
      </c>
      <c r="AM105"/>
      <c r="AP105" s="189"/>
      <c r="AQ105" s="220"/>
      <c r="AS105" s="220"/>
      <c r="AU105"/>
      <c r="AV105"/>
      <c r="AW105"/>
      <c r="AX105"/>
    </row>
    <row r="106" spans="1:50" s="4" customFormat="1" x14ac:dyDescent="0.2">
      <c r="A106" s="222"/>
      <c r="F106" s="1" t="s">
        <v>209</v>
      </c>
      <c r="H106" s="324">
        <v>10</v>
      </c>
      <c r="J106" s="17"/>
      <c r="M106" s="166"/>
      <c r="N106" s="2"/>
      <c r="O106"/>
      <c r="P106" s="6"/>
      <c r="Q106"/>
      <c r="R106"/>
      <c r="S106"/>
      <c r="T106"/>
      <c r="U106"/>
      <c r="V106"/>
      <c r="X106" s="220"/>
      <c r="Y106" s="155"/>
      <c r="Z106" s="155"/>
      <c r="AA106"/>
      <c r="AB106"/>
      <c r="AC106"/>
      <c r="AD106" s="171">
        <v>0.78</v>
      </c>
      <c r="AN106"/>
      <c r="AO106"/>
      <c r="AP106" s="189"/>
      <c r="AQ106" s="220"/>
      <c r="AS106" s="220"/>
      <c r="AU106"/>
      <c r="AV106"/>
      <c r="AW106"/>
      <c r="AX106"/>
    </row>
    <row r="107" spans="1:50" s="4" customFormat="1" ht="14.25" x14ac:dyDescent="0.2">
      <c r="A107" s="222"/>
      <c r="C107" s="6"/>
      <c r="D107" s="6"/>
      <c r="E107" s="6"/>
      <c r="J107" s="17"/>
      <c r="M107" s="166"/>
      <c r="N107" s="2"/>
      <c r="O107"/>
      <c r="P107" s="6"/>
      <c r="Q107"/>
      <c r="R107"/>
      <c r="S107"/>
      <c r="T107"/>
      <c r="U107"/>
      <c r="V107"/>
      <c r="X107" s="220"/>
      <c r="Y107" s="155"/>
      <c r="Z107" s="155"/>
      <c r="AA107"/>
      <c r="AB107"/>
      <c r="AC107"/>
      <c r="AD107" s="171">
        <v>0.77</v>
      </c>
      <c r="AJ107" s="1"/>
      <c r="AK107" s="275"/>
      <c r="AL107" s="270"/>
      <c r="AM107"/>
      <c r="AN107"/>
      <c r="AO107"/>
      <c r="AP107" s="189"/>
      <c r="AQ107" s="220"/>
      <c r="AS107" s="220"/>
      <c r="AU107"/>
      <c r="AV107"/>
      <c r="AW107"/>
      <c r="AX107"/>
    </row>
    <row r="108" spans="1:50" s="4" customFormat="1" x14ac:dyDescent="0.2">
      <c r="A108" s="222"/>
      <c r="C108" s="6"/>
      <c r="D108" s="6"/>
      <c r="E108" s="6"/>
      <c r="J108" s="17"/>
      <c r="M108" s="166"/>
      <c r="N108" s="2"/>
      <c r="O108"/>
      <c r="P108" s="6"/>
      <c r="Q108"/>
      <c r="R108"/>
      <c r="S108"/>
      <c r="T108"/>
      <c r="U108"/>
      <c r="V108"/>
      <c r="X108" s="220"/>
      <c r="Y108" s="155"/>
      <c r="Z108" s="155"/>
      <c r="AA108"/>
      <c r="AB108"/>
      <c r="AC108"/>
      <c r="AD108" s="171">
        <v>0.76</v>
      </c>
      <c r="AN108" s="226"/>
      <c r="AO108" s="226"/>
      <c r="AP108" s="189"/>
      <c r="AQ108" s="220"/>
      <c r="AS108" s="220"/>
      <c r="AU108"/>
      <c r="AV108"/>
      <c r="AW108"/>
      <c r="AX108"/>
    </row>
    <row r="109" spans="1:50" s="4" customFormat="1" x14ac:dyDescent="0.2">
      <c r="A109" s="222"/>
      <c r="C109" s="6"/>
      <c r="D109" s="6"/>
      <c r="E109" s="6"/>
      <c r="F109" s="37"/>
      <c r="H109" s="17"/>
      <c r="I109" s="17"/>
      <c r="J109" s="17"/>
      <c r="M109" s="166"/>
      <c r="N109" s="2"/>
      <c r="O109"/>
      <c r="P109" s="6"/>
      <c r="Q109"/>
      <c r="R109"/>
      <c r="S109"/>
      <c r="T109"/>
      <c r="U109"/>
      <c r="V109"/>
      <c r="X109" s="220"/>
      <c r="Y109" s="155"/>
      <c r="Z109" s="155"/>
      <c r="AA109"/>
      <c r="AB109"/>
      <c r="AC109"/>
      <c r="AD109" s="171">
        <v>0.75</v>
      </c>
      <c r="AJ109" s="226"/>
      <c r="AK109" s="234"/>
      <c r="AL109" s="227"/>
      <c r="AM109" s="226"/>
      <c r="AN109" s="226"/>
      <c r="AO109" s="226"/>
      <c r="AP109" s="189"/>
      <c r="AQ109" s="220"/>
      <c r="AS109" s="220"/>
      <c r="AU109"/>
      <c r="AV109"/>
      <c r="AW109"/>
      <c r="AX109"/>
    </row>
    <row r="110" spans="1:50" s="4" customFormat="1" x14ac:dyDescent="0.2">
      <c r="A110" s="222"/>
      <c r="C110" s="6"/>
      <c r="D110" s="6"/>
      <c r="E110" s="6"/>
      <c r="F110" s="37"/>
      <c r="H110" s="17"/>
      <c r="I110" s="17"/>
      <c r="J110" s="17"/>
      <c r="M110" s="166"/>
      <c r="N110" s="2"/>
      <c r="O110"/>
      <c r="P110" s="6"/>
      <c r="Q110"/>
      <c r="R110"/>
      <c r="S110"/>
      <c r="T110"/>
      <c r="U110"/>
      <c r="V110"/>
      <c r="X110" s="220"/>
      <c r="Y110"/>
      <c r="Z110"/>
      <c r="AA110"/>
      <c r="AB110"/>
      <c r="AC110"/>
      <c r="AD110" s="171">
        <v>0.74</v>
      </c>
      <c r="AJ110" s="220"/>
      <c r="AK110" s="165"/>
      <c r="AL110" s="1" t="s">
        <v>192</v>
      </c>
      <c r="AM110" s="226"/>
      <c r="AN110" s="226"/>
      <c r="AO110" s="226"/>
      <c r="AP110" s="189"/>
      <c r="AQ110" s="220"/>
      <c r="AS110" s="220"/>
      <c r="AU110"/>
      <c r="AV110"/>
      <c r="AW110"/>
      <c r="AX110"/>
    </row>
    <row r="111" spans="1:50" s="4" customFormat="1" x14ac:dyDescent="0.2">
      <c r="A111" s="222"/>
      <c r="C111" s="6"/>
      <c r="D111" s="6"/>
      <c r="E111" s="6"/>
      <c r="F111" s="233"/>
      <c r="H111" s="17"/>
      <c r="I111" s="17"/>
      <c r="J111" s="17"/>
      <c r="M111" s="166"/>
      <c r="N111" s="2"/>
      <c r="O111"/>
      <c r="P111" s="6"/>
      <c r="Q111"/>
      <c r="R111"/>
      <c r="S111"/>
      <c r="T111"/>
      <c r="U111"/>
      <c r="V111"/>
      <c r="X111" s="220"/>
      <c r="Y111"/>
      <c r="Z111"/>
      <c r="AA111"/>
      <c r="AB111"/>
      <c r="AC111"/>
      <c r="AD111" s="171">
        <v>0.73</v>
      </c>
      <c r="AJ111" s="30" t="s">
        <v>198</v>
      </c>
      <c r="AK111" s="232"/>
      <c r="AL111" s="232">
        <f ca="1">DATE(YEAR(F16)-RMAData!$L$5,MONTH(F16),DAY(F16))</f>
        <v>41080</v>
      </c>
      <c r="AM111" s="226"/>
      <c r="AN111" s="226"/>
      <c r="AO111" s="226"/>
      <c r="AP111" s="189"/>
      <c r="AQ111" s="220"/>
      <c r="AS111" s="220"/>
      <c r="AU111"/>
      <c r="AV111"/>
      <c r="AW111"/>
      <c r="AX111"/>
    </row>
    <row r="112" spans="1:50" s="4" customFormat="1" x14ac:dyDescent="0.2">
      <c r="A112" s="222"/>
      <c r="C112" s="6"/>
      <c r="D112" s="6"/>
      <c r="E112" s="6"/>
      <c r="F112" s="233"/>
      <c r="H112" s="17"/>
      <c r="I112" s="17"/>
      <c r="J112" s="17"/>
      <c r="O112"/>
      <c r="P112" s="6"/>
      <c r="Q112"/>
      <c r="R112"/>
      <c r="S112"/>
      <c r="T112"/>
      <c r="U112"/>
      <c r="V112"/>
      <c r="X112" s="220"/>
      <c r="Y112"/>
      <c r="Z112"/>
      <c r="AA112"/>
      <c r="AB112"/>
      <c r="AC112"/>
      <c r="AD112" s="171">
        <v>0.72</v>
      </c>
      <c r="AJ112" s="235" t="s">
        <v>200</v>
      </c>
      <c r="AK112" s="227"/>
      <c r="AL112" s="227"/>
      <c r="AM112" s="226"/>
      <c r="AN112" s="226"/>
      <c r="AO112" s="226"/>
      <c r="AP112" s="189"/>
      <c r="AQ112" s="220"/>
      <c r="AS112" s="220"/>
      <c r="AU112"/>
      <c r="AV112"/>
      <c r="AW112"/>
      <c r="AX112"/>
    </row>
    <row r="113" spans="1:50" s="4" customFormat="1" x14ac:dyDescent="0.2">
      <c r="A113" s="222"/>
      <c r="C113" s="6"/>
      <c r="D113" s="6"/>
      <c r="E113" s="6"/>
      <c r="F113" s="233"/>
      <c r="H113" s="17"/>
      <c r="I113" s="17"/>
      <c r="J113" s="17"/>
      <c r="O113"/>
      <c r="P113" s="6"/>
      <c r="Q113"/>
      <c r="R113"/>
      <c r="S113"/>
      <c r="T113"/>
      <c r="U113"/>
      <c r="V113"/>
      <c r="X113" s="220"/>
      <c r="Y113"/>
      <c r="Z113"/>
      <c r="AA113"/>
      <c r="AB113"/>
      <c r="AC113"/>
      <c r="AD113" s="171">
        <v>0.71</v>
      </c>
      <c r="AJ113" s="6"/>
      <c r="AK113" s="165" t="s">
        <v>27</v>
      </c>
      <c r="AL113" s="233"/>
      <c r="AM113" s="128" t="s">
        <v>29</v>
      </c>
      <c r="AO113" s="37"/>
      <c r="AP113" s="189"/>
      <c r="AQ113" s="220"/>
      <c r="AS113" s="220"/>
      <c r="AU113"/>
      <c r="AV113"/>
      <c r="AW113"/>
      <c r="AX113"/>
    </row>
    <row r="114" spans="1:50" s="4" customFormat="1" x14ac:dyDescent="0.2">
      <c r="A114" s="222"/>
      <c r="C114" s="6"/>
      <c r="D114" s="6"/>
      <c r="E114" s="6"/>
      <c r="F114" s="233"/>
      <c r="H114" s="17"/>
      <c r="I114" s="17"/>
      <c r="J114" s="17"/>
      <c r="O114"/>
      <c r="P114" s="6"/>
      <c r="Q114"/>
      <c r="R114"/>
      <c r="S114"/>
      <c r="T114"/>
      <c r="U114"/>
      <c r="V114"/>
      <c r="X114" s="220"/>
      <c r="Y114"/>
      <c r="Z114"/>
      <c r="AA114"/>
      <c r="AB114"/>
      <c r="AC114"/>
      <c r="AD114" s="171">
        <v>0.7</v>
      </c>
      <c r="AJ114" s="165" t="s">
        <v>199</v>
      </c>
      <c r="AK114" s="1" t="s">
        <v>0</v>
      </c>
      <c r="AL114" s="1" t="s">
        <v>192</v>
      </c>
      <c r="AM114" s="1" t="s">
        <v>0</v>
      </c>
      <c r="AN114" s="1" t="s">
        <v>192</v>
      </c>
      <c r="AP114" s="189"/>
      <c r="AQ114" s="220"/>
      <c r="AS114" s="220"/>
      <c r="AU114"/>
      <c r="AV114"/>
      <c r="AW114"/>
      <c r="AX114"/>
    </row>
    <row r="115" spans="1:50" x14ac:dyDescent="0.2">
      <c r="C115" s="220"/>
      <c r="D115" s="220"/>
      <c r="E115" s="220"/>
      <c r="P115" s="6"/>
      <c r="X115" s="220"/>
      <c r="AD115" s="171">
        <v>0.69</v>
      </c>
      <c r="AJ115" s="165" t="s">
        <v>189</v>
      </c>
      <c r="AK115" s="236">
        <v>-6358381.1318135969</v>
      </c>
      <c r="AL115" s="236">
        <v>-17181786.020406116</v>
      </c>
      <c r="AM115" s="236">
        <v>-10434114.083420666</v>
      </c>
      <c r="AN115" s="236">
        <v>-14710355.179590281</v>
      </c>
      <c r="AP115" s="189"/>
      <c r="AQ115" s="220"/>
      <c r="AS115" s="220"/>
    </row>
    <row r="116" spans="1:50" x14ac:dyDescent="0.2">
      <c r="P116" s="6"/>
      <c r="X116" s="220"/>
      <c r="AD116" s="171">
        <v>0.68</v>
      </c>
      <c r="AJ116" s="165" t="s">
        <v>190</v>
      </c>
      <c r="AK116" s="236">
        <v>310.3880303028069</v>
      </c>
      <c r="AL116" s="236">
        <v>837.43741496588643</v>
      </c>
      <c r="AM116" s="236">
        <v>509.25824175844087</v>
      </c>
      <c r="AN116" s="236">
        <v>716.93910018545284</v>
      </c>
      <c r="AP116" s="189"/>
      <c r="AQ116" s="220"/>
      <c r="AS116" s="220"/>
    </row>
    <row r="117" spans="1:50" ht="13.5" thickBot="1" x14ac:dyDescent="0.25">
      <c r="P117" s="6"/>
      <c r="X117" s="220"/>
      <c r="AD117" s="171">
        <v>0.67</v>
      </c>
      <c r="AJ117" s="165" t="s">
        <v>191</v>
      </c>
      <c r="AK117" s="237">
        <v>-3.7878787878760675E-3</v>
      </c>
      <c r="AL117" s="237">
        <v>-1.0204081632651843E-2</v>
      </c>
      <c r="AM117" s="237">
        <v>-6.2137862137886402E-3</v>
      </c>
      <c r="AN117" s="237">
        <v>-8.7353123067399532E-3</v>
      </c>
      <c r="AP117" s="189"/>
      <c r="AQ117" s="220"/>
      <c r="AS117" s="220"/>
    </row>
    <row r="118" spans="1:50" x14ac:dyDescent="0.2">
      <c r="P118" s="6"/>
      <c r="X118" s="220"/>
      <c r="AD118" s="171">
        <v>0.66</v>
      </c>
      <c r="AJ118" s="165" t="s">
        <v>193</v>
      </c>
      <c r="AK118" s="171">
        <f>MAX(0,(AK115+$AK$111*AK116+$AK$111^2*AK117)/100)</f>
        <v>0</v>
      </c>
      <c r="AL118" s="171">
        <f ca="1">MAX(0,(AL115+$AL$111*AL116+$AL$111^2*AL117)/100)</f>
        <v>0.77680272109806536</v>
      </c>
      <c r="AM118" s="171">
        <f>MAX(0,(AM115+$AK$111*AM116+$AK$111^2*AM117)/100)</f>
        <v>0</v>
      </c>
      <c r="AN118" s="171">
        <f ca="1">MAX(0,(AN115+$AL$111*AN116+$AL$111^2*AN117)/100)</f>
        <v>0.83513667281717063</v>
      </c>
      <c r="AP118" s="189"/>
      <c r="AQ118" s="220"/>
      <c r="AS118" s="220"/>
    </row>
    <row r="119" spans="1:50" x14ac:dyDescent="0.2">
      <c r="P119" s="6"/>
      <c r="X119" s="220"/>
      <c r="AD119" s="171">
        <v>0.65</v>
      </c>
      <c r="AK119" s="274"/>
      <c r="AM119" s="236"/>
      <c r="AP119" s="189"/>
      <c r="AQ119" s="220"/>
      <c r="AS119" s="220"/>
    </row>
    <row r="120" spans="1:50" x14ac:dyDescent="0.2">
      <c r="P120" s="6"/>
      <c r="X120" s="220"/>
      <c r="AD120" s="171">
        <v>0.64</v>
      </c>
      <c r="AP120" s="189"/>
      <c r="AQ120" s="220"/>
      <c r="AS120" s="220"/>
    </row>
    <row r="121" spans="1:50" x14ac:dyDescent="0.2">
      <c r="P121" s="6"/>
      <c r="X121" s="220"/>
      <c r="AD121" s="171">
        <v>0.63</v>
      </c>
      <c r="AJ121" s="165"/>
      <c r="AP121" s="189"/>
      <c r="AQ121" s="220"/>
      <c r="AS121" s="220"/>
    </row>
    <row r="122" spans="1:50" x14ac:dyDescent="0.2">
      <c r="P122" s="6"/>
      <c r="X122" s="220"/>
      <c r="AD122" s="171">
        <v>0.62</v>
      </c>
      <c r="AJ122" s="165"/>
      <c r="AK122" s="238"/>
      <c r="AL122" s="238"/>
      <c r="AM122" s="238"/>
      <c r="AN122" s="238"/>
      <c r="AP122" s="189"/>
      <c r="AQ122" s="220"/>
      <c r="AS122" s="220"/>
    </row>
    <row r="123" spans="1:50" x14ac:dyDescent="0.2">
      <c r="P123" s="6"/>
      <c r="X123" s="220"/>
      <c r="AD123" s="171">
        <v>0.61</v>
      </c>
      <c r="AJ123" s="165"/>
      <c r="AK123" s="238"/>
      <c r="AL123" s="238"/>
      <c r="AM123" s="238"/>
      <c r="AN123" s="238"/>
      <c r="AP123" s="189"/>
      <c r="AQ123" s="220"/>
      <c r="AS123" s="220"/>
    </row>
    <row r="124" spans="1:50" x14ac:dyDescent="0.2">
      <c r="P124" s="6"/>
      <c r="X124" s="220"/>
      <c r="AD124" s="171">
        <v>0.6</v>
      </c>
      <c r="AJ124" s="165"/>
      <c r="AK124" s="238"/>
      <c r="AL124" s="238"/>
      <c r="AM124" s="238"/>
      <c r="AN124" s="238"/>
      <c r="AP124" s="189"/>
      <c r="AQ124" s="220"/>
      <c r="AS124" s="220"/>
    </row>
    <row r="125" spans="1:50" x14ac:dyDescent="0.2">
      <c r="P125" s="6"/>
      <c r="X125" s="220"/>
      <c r="AJ125" s="165"/>
      <c r="AK125" s="238"/>
      <c r="AL125" s="238"/>
      <c r="AM125" s="238"/>
      <c r="AN125" s="238"/>
      <c r="AP125" s="189"/>
      <c r="AQ125" s="220"/>
      <c r="AS125" s="220"/>
    </row>
    <row r="126" spans="1:50" x14ac:dyDescent="0.2">
      <c r="P126" s="6"/>
      <c r="X126" s="220"/>
      <c r="AP126" s="189"/>
      <c r="AQ126" s="220"/>
      <c r="AS126" s="220"/>
    </row>
    <row r="127" spans="1:50" x14ac:dyDescent="0.2">
      <c r="P127" s="6"/>
      <c r="X127" s="220"/>
      <c r="AP127" s="189"/>
      <c r="AQ127" s="220"/>
      <c r="AS127" s="220"/>
    </row>
    <row r="128" spans="1:50" x14ac:dyDescent="0.2">
      <c r="P128" s="6"/>
      <c r="X128" s="220"/>
      <c r="AJ128" s="165"/>
      <c r="AP128" s="189"/>
      <c r="AQ128" s="220"/>
      <c r="AS128" s="220"/>
    </row>
    <row r="129" spans="16:45" x14ac:dyDescent="0.2">
      <c r="P129" s="6"/>
      <c r="X129" s="220"/>
      <c r="AP129" s="189"/>
      <c r="AQ129" s="220"/>
      <c r="AS129" s="220"/>
    </row>
    <row r="130" spans="16:45" x14ac:dyDescent="0.2">
      <c r="P130" s="6"/>
      <c r="X130" s="220"/>
      <c r="AP130" s="189"/>
      <c r="AQ130" s="220"/>
      <c r="AS130" s="220"/>
    </row>
    <row r="131" spans="16:45" x14ac:dyDescent="0.2">
      <c r="P131" s="6"/>
      <c r="X131" s="220"/>
      <c r="AP131" s="189"/>
      <c r="AQ131" s="220"/>
      <c r="AS131" s="220"/>
    </row>
    <row r="132" spans="16:45" x14ac:dyDescent="0.2">
      <c r="P132" s="6"/>
      <c r="X132" s="220"/>
      <c r="AP132" s="189"/>
      <c r="AQ132" s="220"/>
      <c r="AS132" s="220"/>
    </row>
    <row r="133" spans="16:45" x14ac:dyDescent="0.2">
      <c r="P133" s="6"/>
      <c r="X133" s="220"/>
      <c r="AP133" s="189"/>
      <c r="AQ133" s="220"/>
      <c r="AS133" s="220"/>
    </row>
    <row r="134" spans="16:45" x14ac:dyDescent="0.2">
      <c r="P134" s="6"/>
      <c r="X134" s="220"/>
      <c r="AP134" s="189"/>
      <c r="AQ134" s="220"/>
      <c r="AS134" s="220"/>
    </row>
    <row r="135" spans="16:45" x14ac:dyDescent="0.2">
      <c r="P135" s="6"/>
      <c r="X135" s="220"/>
      <c r="AP135" s="189"/>
      <c r="AQ135" s="220"/>
      <c r="AS135" s="220"/>
    </row>
    <row r="136" spans="16:45" x14ac:dyDescent="0.2">
      <c r="P136" s="6"/>
      <c r="X136" s="220"/>
      <c r="AP136" s="189"/>
      <c r="AQ136" s="220"/>
      <c r="AS136" s="220"/>
    </row>
    <row r="137" spans="16:45" x14ac:dyDescent="0.2">
      <c r="P137" s="6"/>
      <c r="X137" s="220"/>
      <c r="AP137" s="189"/>
      <c r="AQ137" s="220"/>
      <c r="AS137" s="220"/>
    </row>
    <row r="138" spans="16:45" x14ac:dyDescent="0.2">
      <c r="P138" s="6"/>
      <c r="X138" s="220"/>
      <c r="AP138" s="189"/>
      <c r="AQ138" s="220"/>
      <c r="AS138" s="220"/>
    </row>
    <row r="139" spans="16:45" x14ac:dyDescent="0.2">
      <c r="P139" s="6"/>
      <c r="X139" s="220"/>
      <c r="AP139" s="189"/>
      <c r="AQ139" s="220"/>
      <c r="AS139" s="220"/>
    </row>
    <row r="140" spans="16:45" x14ac:dyDescent="0.2">
      <c r="P140" s="6"/>
      <c r="X140" s="220"/>
      <c r="AP140" s="189"/>
      <c r="AQ140" s="220"/>
      <c r="AS140" s="220"/>
    </row>
    <row r="141" spans="16:45" x14ac:dyDescent="0.2">
      <c r="P141" s="6"/>
      <c r="X141" s="220"/>
      <c r="AP141" s="189"/>
      <c r="AQ141" s="220"/>
      <c r="AS141" s="220"/>
    </row>
    <row r="142" spans="16:45" x14ac:dyDescent="0.2">
      <c r="P142" s="6"/>
      <c r="X142" s="220"/>
      <c r="AP142" s="189"/>
      <c r="AQ142" s="220"/>
      <c r="AS142" s="220"/>
    </row>
    <row r="143" spans="16:45" x14ac:dyDescent="0.2">
      <c r="P143" s="6"/>
      <c r="X143" s="220"/>
      <c r="AP143" s="189"/>
      <c r="AQ143" s="220"/>
      <c r="AS143" s="220"/>
    </row>
    <row r="144" spans="16:45" x14ac:dyDescent="0.2">
      <c r="P144" s="6"/>
      <c r="X144" s="220"/>
      <c r="AP144" s="189"/>
      <c r="AQ144" s="220"/>
      <c r="AS144" s="220"/>
    </row>
    <row r="145" spans="16:45" x14ac:dyDescent="0.2">
      <c r="P145" s="6"/>
      <c r="X145" s="220"/>
      <c r="AP145" s="189"/>
      <c r="AQ145" s="220"/>
      <c r="AS145" s="220"/>
    </row>
    <row r="146" spans="16:45" x14ac:dyDescent="0.2">
      <c r="P146" s="6"/>
      <c r="X146" s="220"/>
      <c r="AP146" s="189"/>
      <c r="AQ146" s="220"/>
      <c r="AS146" s="220"/>
    </row>
    <row r="147" spans="16:45" x14ac:dyDescent="0.2">
      <c r="P147" s="6"/>
      <c r="X147" s="220"/>
      <c r="AP147" s="189"/>
      <c r="AQ147" s="220"/>
      <c r="AS147" s="220"/>
    </row>
    <row r="148" spans="16:45" x14ac:dyDescent="0.2">
      <c r="P148" s="6"/>
      <c r="X148" s="220"/>
      <c r="AP148" s="189"/>
      <c r="AQ148" s="220"/>
      <c r="AS148" s="220"/>
    </row>
    <row r="149" spans="16:45" x14ac:dyDescent="0.2">
      <c r="P149" s="6"/>
      <c r="X149" s="220"/>
      <c r="AP149" s="189"/>
      <c r="AQ149" s="220"/>
      <c r="AS149" s="220"/>
    </row>
    <row r="150" spans="16:45" x14ac:dyDescent="0.2">
      <c r="P150" s="6"/>
      <c r="X150" s="220"/>
      <c r="AP150" s="189"/>
      <c r="AQ150" s="220"/>
      <c r="AS150" s="220"/>
    </row>
    <row r="151" spans="16:45" x14ac:dyDescent="0.2">
      <c r="P151" s="6"/>
      <c r="X151" s="220"/>
      <c r="AP151" s="189"/>
      <c r="AQ151" s="220"/>
      <c r="AS151" s="220"/>
    </row>
    <row r="152" spans="16:45" x14ac:dyDescent="0.2">
      <c r="P152" s="6"/>
      <c r="X152" s="220"/>
      <c r="AP152" s="189"/>
      <c r="AQ152" s="220"/>
      <c r="AS152" s="220"/>
    </row>
    <row r="153" spans="16:45" x14ac:dyDescent="0.2">
      <c r="P153" s="6"/>
      <c r="X153" s="220"/>
      <c r="AP153" s="189"/>
      <c r="AQ153" s="220"/>
      <c r="AS153" s="220"/>
    </row>
    <row r="154" spans="16:45" x14ac:dyDescent="0.2">
      <c r="P154" s="6"/>
      <c r="X154" s="220"/>
      <c r="AP154" s="189"/>
      <c r="AQ154" s="220"/>
      <c r="AS154" s="220"/>
    </row>
    <row r="155" spans="16:45" x14ac:dyDescent="0.2">
      <c r="P155" s="6"/>
      <c r="X155" s="220"/>
      <c r="AP155" s="189"/>
      <c r="AQ155" s="220"/>
      <c r="AS155" s="220"/>
    </row>
    <row r="156" spans="16:45" x14ac:dyDescent="0.2">
      <c r="P156" s="6"/>
      <c r="X156" s="220"/>
      <c r="AP156" s="189"/>
      <c r="AQ156" s="220"/>
      <c r="AS156" s="220"/>
    </row>
    <row r="157" spans="16:45" x14ac:dyDescent="0.2">
      <c r="P157" s="6"/>
      <c r="X157" s="220"/>
      <c r="AP157" s="189"/>
      <c r="AQ157" s="220"/>
      <c r="AS157" s="220"/>
    </row>
    <row r="158" spans="16:45" x14ac:dyDescent="0.2">
      <c r="P158" s="6"/>
      <c r="X158" s="220"/>
      <c r="AP158" s="189"/>
      <c r="AQ158" s="220"/>
      <c r="AS158" s="220"/>
    </row>
    <row r="159" spans="16:45" x14ac:dyDescent="0.2">
      <c r="P159" s="6"/>
      <c r="X159" s="220"/>
      <c r="AP159" s="189"/>
      <c r="AQ159" s="220"/>
      <c r="AS159" s="220"/>
    </row>
    <row r="160" spans="16:45" x14ac:dyDescent="0.2">
      <c r="P160" s="6"/>
      <c r="X160" s="220"/>
      <c r="AP160" s="189"/>
      <c r="AQ160" s="220"/>
      <c r="AS160" s="220"/>
    </row>
    <row r="161" spans="16:45" x14ac:dyDescent="0.2">
      <c r="P161" s="6"/>
      <c r="X161" s="220"/>
      <c r="AP161" s="189"/>
      <c r="AQ161" s="220"/>
      <c r="AS161" s="220"/>
    </row>
    <row r="162" spans="16:45" x14ac:dyDescent="0.2">
      <c r="P162" s="6"/>
      <c r="X162" s="220"/>
      <c r="AP162" s="189"/>
      <c r="AQ162" s="220"/>
      <c r="AS162" s="220"/>
    </row>
    <row r="163" spans="16:45" x14ac:dyDescent="0.2">
      <c r="P163" s="6"/>
      <c r="X163" s="220"/>
      <c r="AP163" s="189"/>
      <c r="AQ163" s="220"/>
      <c r="AS163" s="220"/>
    </row>
    <row r="164" spans="16:45" x14ac:dyDescent="0.2">
      <c r="P164" s="6"/>
      <c r="X164" s="220"/>
      <c r="AP164" s="189"/>
      <c r="AQ164" s="220"/>
      <c r="AS164" s="220"/>
    </row>
    <row r="165" spans="16:45" x14ac:dyDescent="0.2">
      <c r="P165" s="6"/>
      <c r="X165" s="220"/>
      <c r="AP165" s="189"/>
      <c r="AQ165" s="220"/>
      <c r="AS165" s="220"/>
    </row>
    <row r="166" spans="16:45" x14ac:dyDescent="0.2">
      <c r="P166" s="6"/>
      <c r="X166" s="220"/>
      <c r="AP166" s="189"/>
      <c r="AQ166" s="220"/>
      <c r="AS166" s="220"/>
    </row>
    <row r="167" spans="16:45" x14ac:dyDescent="0.2">
      <c r="P167" s="6"/>
      <c r="X167" s="220"/>
      <c r="AP167" s="189"/>
      <c r="AQ167" s="220"/>
      <c r="AS167" s="220"/>
    </row>
    <row r="168" spans="16:45" x14ac:dyDescent="0.2">
      <c r="P168" s="6"/>
      <c r="X168" s="220"/>
      <c r="AP168" s="189"/>
      <c r="AQ168" s="220"/>
      <c r="AS168" s="220"/>
    </row>
    <row r="169" spans="16:45" x14ac:dyDescent="0.2">
      <c r="P169" s="6"/>
      <c r="X169" s="220"/>
      <c r="AP169" s="189"/>
      <c r="AQ169" s="220"/>
      <c r="AS169" s="220"/>
    </row>
    <row r="170" spans="16:45" x14ac:dyDescent="0.2">
      <c r="P170" s="6"/>
      <c r="X170" s="220"/>
      <c r="AP170" s="189"/>
      <c r="AQ170" s="220"/>
      <c r="AS170" s="220"/>
    </row>
    <row r="171" spans="16:45" x14ac:dyDescent="0.2">
      <c r="P171" s="6"/>
      <c r="X171" s="220"/>
      <c r="AP171" s="189"/>
      <c r="AQ171" s="220"/>
      <c r="AS171" s="220"/>
    </row>
    <row r="172" spans="16:45" x14ac:dyDescent="0.2">
      <c r="P172" s="6"/>
      <c r="X172" s="220"/>
      <c r="AP172" s="189"/>
      <c r="AQ172" s="220"/>
      <c r="AS172" s="220"/>
    </row>
    <row r="173" spans="16:45" x14ac:dyDescent="0.2">
      <c r="P173" s="6"/>
      <c r="X173" s="220"/>
      <c r="AP173" s="189"/>
      <c r="AQ173" s="220"/>
      <c r="AS173" s="220"/>
    </row>
    <row r="174" spans="16:45" x14ac:dyDescent="0.2">
      <c r="P174" s="6"/>
      <c r="X174" s="220"/>
      <c r="AP174" s="189"/>
      <c r="AQ174" s="220"/>
      <c r="AS174" s="220"/>
    </row>
    <row r="175" spans="16:45" x14ac:dyDescent="0.2">
      <c r="P175" s="6"/>
      <c r="X175" s="220"/>
      <c r="AP175" s="189"/>
      <c r="AQ175" s="220"/>
      <c r="AS175" s="220"/>
    </row>
    <row r="176" spans="16:45" x14ac:dyDescent="0.2">
      <c r="P176" s="6"/>
      <c r="X176" s="220"/>
      <c r="AP176" s="189"/>
      <c r="AQ176" s="220"/>
      <c r="AS176" s="220"/>
    </row>
    <row r="177" spans="16:45" x14ac:dyDescent="0.2">
      <c r="P177" s="6"/>
      <c r="X177" s="220"/>
      <c r="AP177" s="189"/>
      <c r="AQ177" s="220"/>
      <c r="AS177" s="220"/>
    </row>
    <row r="178" spans="16:45" x14ac:dyDescent="0.2">
      <c r="P178" s="6"/>
      <c r="X178" s="220"/>
      <c r="AP178" s="189"/>
      <c r="AQ178" s="220"/>
      <c r="AS178" s="220"/>
    </row>
    <row r="179" spans="16:45" x14ac:dyDescent="0.2">
      <c r="P179" s="6"/>
      <c r="X179" s="220"/>
      <c r="AP179" s="189"/>
      <c r="AQ179" s="220"/>
      <c r="AS179" s="220"/>
    </row>
    <row r="180" spans="16:45" x14ac:dyDescent="0.2">
      <c r="P180" s="6"/>
      <c r="X180" s="220"/>
      <c r="AP180" s="189"/>
      <c r="AQ180" s="220"/>
      <c r="AS180" s="220"/>
    </row>
    <row r="181" spans="16:45" x14ac:dyDescent="0.2">
      <c r="P181" s="6"/>
      <c r="X181" s="220"/>
      <c r="AP181" s="189"/>
      <c r="AQ181" s="220"/>
      <c r="AS181" s="220"/>
    </row>
    <row r="182" spans="16:45" x14ac:dyDescent="0.2">
      <c r="P182" s="220"/>
      <c r="X182" s="220"/>
      <c r="AP182" s="189"/>
      <c r="AQ182" s="220"/>
      <c r="AS182" s="220"/>
    </row>
    <row r="183" spans="16:45" x14ac:dyDescent="0.2">
      <c r="P183" s="1"/>
      <c r="X183" s="220"/>
      <c r="AP183" s="189"/>
      <c r="AQ183" s="220"/>
      <c r="AS183" s="220"/>
    </row>
    <row r="184" spans="16:45" x14ac:dyDescent="0.2">
      <c r="X184" s="220"/>
      <c r="AP184" s="189"/>
      <c r="AQ184" s="220"/>
      <c r="AS184" s="220"/>
    </row>
    <row r="185" spans="16:45" x14ac:dyDescent="0.2">
      <c r="X185" s="220"/>
      <c r="AP185" s="189"/>
      <c r="AQ185" s="220"/>
      <c r="AS185" s="220"/>
    </row>
    <row r="186" spans="16:45" x14ac:dyDescent="0.2">
      <c r="X186" s="220"/>
      <c r="AP186" s="189"/>
      <c r="AQ186" s="220"/>
      <c r="AS186" s="220"/>
    </row>
    <row r="187" spans="16:45" x14ac:dyDescent="0.2">
      <c r="X187" s="1"/>
      <c r="AP187" s="189"/>
      <c r="AQ187" s="220"/>
      <c r="AS187" s="220"/>
    </row>
    <row r="188" spans="16:45" x14ac:dyDescent="0.2">
      <c r="AP188" s="189"/>
      <c r="AQ188" s="220"/>
      <c r="AS188" s="220"/>
    </row>
    <row r="189" spans="16:45" x14ac:dyDescent="0.2">
      <c r="AP189" s="189"/>
      <c r="AQ189" s="220"/>
      <c r="AS189" s="220"/>
    </row>
    <row r="190" spans="16:45" x14ac:dyDescent="0.2">
      <c r="AP190" s="189"/>
      <c r="AQ190" s="220"/>
      <c r="AS190" s="220"/>
    </row>
    <row r="191" spans="16:45" x14ac:dyDescent="0.2">
      <c r="AP191" s="189"/>
      <c r="AQ191" s="220"/>
      <c r="AS191" s="220"/>
    </row>
    <row r="192" spans="16:45" x14ac:dyDescent="0.2">
      <c r="AP192" s="189"/>
      <c r="AQ192" s="220"/>
      <c r="AS192" s="220"/>
    </row>
    <row r="193" spans="42:45" x14ac:dyDescent="0.2">
      <c r="AP193" s="189"/>
      <c r="AQ193" s="220"/>
      <c r="AS193" s="220"/>
    </row>
    <row r="194" spans="42:45" x14ac:dyDescent="0.2">
      <c r="AP194" s="189"/>
      <c r="AQ194" s="220"/>
      <c r="AS194" s="220"/>
    </row>
    <row r="195" spans="42:45" x14ac:dyDescent="0.2">
      <c r="AP195" s="189"/>
      <c r="AQ195" s="220"/>
      <c r="AS195" s="220"/>
    </row>
    <row r="196" spans="42:45" x14ac:dyDescent="0.2">
      <c r="AP196" s="189"/>
      <c r="AQ196" s="220"/>
      <c r="AS196" s="220"/>
    </row>
    <row r="197" spans="42:45" x14ac:dyDescent="0.2">
      <c r="AP197" s="189"/>
      <c r="AQ197" s="220"/>
      <c r="AS197" s="220"/>
    </row>
    <row r="198" spans="42:45" x14ac:dyDescent="0.2">
      <c r="AP198" s="189"/>
      <c r="AQ198" s="220"/>
      <c r="AS198" s="220"/>
    </row>
    <row r="199" spans="42:45" x14ac:dyDescent="0.2">
      <c r="AP199" s="189"/>
      <c r="AQ199" s="220"/>
      <c r="AS199" s="220"/>
    </row>
    <row r="200" spans="42:45" x14ac:dyDescent="0.2">
      <c r="AP200" s="189"/>
      <c r="AQ200" s="220"/>
      <c r="AS200" s="220"/>
    </row>
    <row r="201" spans="42:45" x14ac:dyDescent="0.2">
      <c r="AP201" s="189"/>
      <c r="AQ201" s="220"/>
      <c r="AS201" s="220"/>
    </row>
    <row r="202" spans="42:45" x14ac:dyDescent="0.2">
      <c r="AP202" s="189"/>
      <c r="AQ202" s="220"/>
      <c r="AS202" s="220"/>
    </row>
    <row r="203" spans="42:45" x14ac:dyDescent="0.2">
      <c r="AP203" s="189"/>
      <c r="AQ203" s="220"/>
      <c r="AS203" s="220"/>
    </row>
    <row r="204" spans="42:45" x14ac:dyDescent="0.2">
      <c r="AP204" s="189"/>
      <c r="AQ204" s="220"/>
      <c r="AS204" s="220"/>
    </row>
    <row r="205" spans="42:45" x14ac:dyDescent="0.2">
      <c r="AP205" s="189"/>
      <c r="AQ205" s="220"/>
      <c r="AS205" s="220"/>
    </row>
    <row r="206" spans="42:45" x14ac:dyDescent="0.2">
      <c r="AP206" s="189"/>
      <c r="AQ206" s="220"/>
      <c r="AS206" s="220"/>
    </row>
  </sheetData>
  <sheetProtection sheet="1" selectLockedCells="1"/>
  <scenarios current="0" show="0">
    <scenario name="Corn Already Planted" count="1" user="William Edwards" comment="Created by William Edwards on 4/14/2005">
      <inputCells r="F16" val="38467" numFmtId="16"/>
    </scenario>
  </scenarios>
  <mergeCells count="10">
    <mergeCell ref="C30:D30"/>
    <mergeCell ref="C38:F38"/>
    <mergeCell ref="C72:F72"/>
    <mergeCell ref="D5:F5"/>
    <mergeCell ref="H8:J8"/>
    <mergeCell ref="H9:H10"/>
    <mergeCell ref="J9:J10"/>
    <mergeCell ref="E19:F19"/>
    <mergeCell ref="H19:H21"/>
    <mergeCell ref="J19:J21"/>
  </mergeCells>
  <conditionalFormatting sqref="H27:I27">
    <cfRule type="cellIs" dxfId="39" priority="8" operator="equal">
      <formula>0</formula>
    </cfRule>
  </conditionalFormatting>
  <conditionalFormatting sqref="J27">
    <cfRule type="cellIs" dxfId="38" priority="7" operator="equal">
      <formula>0</formula>
    </cfRule>
  </conditionalFormatting>
  <conditionalFormatting sqref="H28 H22 J28:J29 J22">
    <cfRule type="expression" dxfId="37" priority="9">
      <formula>$E$19="Revenue Protection"</formula>
    </cfRule>
  </conditionalFormatting>
  <conditionalFormatting sqref="H27 J27 J40">
    <cfRule type="expression" dxfId="36" priority="10">
      <formula>$E$19="Yield Protection"</formula>
    </cfRule>
  </conditionalFormatting>
  <conditionalFormatting sqref="E22:F22">
    <cfRule type="expression" dxfId="35" priority="11">
      <formula>OR($E$19="Revenue Protection")</formula>
    </cfRule>
  </conditionalFormatting>
  <conditionalFormatting sqref="J40">
    <cfRule type="cellIs" dxfId="34" priority="2" operator="equal">
      <formula>0</formula>
    </cfRule>
  </conditionalFormatting>
  <conditionalFormatting sqref="H51 J51">
    <cfRule type="iconSet" priority="64">
      <iconSet iconSet="3TrafficLights2">
        <cfvo type="percent" val="0"/>
        <cfvo type="percent" val="33"/>
        <cfvo type="percent" val="67"/>
      </iconSet>
    </cfRule>
  </conditionalFormatting>
  <dataValidations count="7">
    <dataValidation type="list" allowBlank="1" showInputMessage="1" showErrorMessage="1" sqref="F20" xr:uid="{6902A208-D812-4B3C-A98C-782219FB9D2F}">
      <formula1>$AG$101:$AG$102</formula1>
    </dataValidation>
    <dataValidation type="list" allowBlank="1" showInputMessage="1" showErrorMessage="1" sqref="F24" xr:uid="{180CF483-F830-4B39-8089-FB28C623C152}">
      <formula1>$AG$84:$AG$101</formula1>
    </dataValidation>
    <dataValidation allowBlank="1" showInputMessage="1" showErrorMessage="1" prompt="The futures price is used to estimate crop revenue insurance payments." sqref="F10" xr:uid="{CCB28BD4-7AB9-443F-8F36-6C8542A5E68B}"/>
    <dataValidation type="list" allowBlank="1" showInputMessage="1" showErrorMessage="1" sqref="F88" xr:uid="{7E401116-B4A5-492F-995A-455F10C349DB}">
      <formula1>$AD$71:$AD$73</formula1>
    </dataValidation>
    <dataValidation type="list" allowBlank="1" showInputMessage="1" showErrorMessage="1" sqref="F22" xr:uid="{8A2DD1EC-5E04-494F-AF35-8D2398AC41D8}">
      <formula1>$AD$84:$AD$124</formula1>
    </dataValidation>
    <dataValidation type="list" allowBlank="1" showInputMessage="1" showErrorMessage="1" sqref="E20" xr:uid="{92118C3B-E1DE-4E72-86CF-E174EB8CDEB5}">
      <formula1>$AJ$84:$AJ$88</formula1>
    </dataValidation>
    <dataValidation type="list" allowBlank="1" showInputMessage="1" showErrorMessage="1" sqref="E19:F19" xr:uid="{4722BDB2-52D6-4960-9710-D1005E78360C}">
      <formula1>$F$84:$F$85</formula1>
    </dataValidation>
  </dataValidations>
  <pageMargins left="0.45" right="0.51" top="0.53" bottom="0.5" header="0.5" footer="0.5"/>
  <pageSetup scale="69" orientation="landscape" r:id="rId1"/>
  <headerFooter alignWithMargins="0"/>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6E377986-8D6F-483B-8F40-E65DA1A64051}">
          <x14:formula1>
            <xm:f>RMAData!$A$3:$A$117</xm:f>
          </x14:formula1>
          <xm:sqref>D5:F5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F0390-752B-44C0-A728-576F874179C2}">
  <sheetPr>
    <pageSetUpPr fitToPage="1"/>
  </sheetPr>
  <dimension ref="A1:BB202"/>
  <sheetViews>
    <sheetView showGridLines="0" zoomScale="115" zoomScaleNormal="115" workbookViewId="0">
      <selection activeCell="D5" sqref="D5:F5"/>
    </sheetView>
  </sheetViews>
  <sheetFormatPr defaultColWidth="9.140625" defaultRowHeight="12.75" x14ac:dyDescent="0.2"/>
  <cols>
    <col min="1" max="1" width="2.28515625" style="156" customWidth="1"/>
    <col min="2" max="2" width="1.7109375" customWidth="1"/>
    <col min="3" max="3" width="29.7109375" customWidth="1"/>
    <col min="4" max="4" width="14" customWidth="1"/>
    <col min="5" max="5" width="0.85546875" customWidth="1"/>
    <col min="6" max="6" width="16.7109375" customWidth="1"/>
    <col min="7" max="7" width="0.85546875" customWidth="1"/>
    <col min="8" max="8" width="17.42578125" customWidth="1"/>
    <col min="9" max="9" width="1.7109375" customWidth="1"/>
    <col min="10" max="10" width="14.28515625" customWidth="1"/>
    <col min="11" max="11" width="0.85546875" customWidth="1"/>
    <col min="12" max="12" width="13.5703125" customWidth="1"/>
    <col min="13" max="13" width="0.85546875" customWidth="1"/>
    <col min="14" max="14" width="15.140625" customWidth="1"/>
    <col min="15" max="15" width="1.7109375" customWidth="1"/>
    <col min="17" max="17" width="28.7109375" customWidth="1"/>
    <col min="18" max="18" width="13.140625" customWidth="1"/>
    <col min="19" max="19" width="11.42578125" customWidth="1"/>
    <col min="20" max="20" width="86.140625" customWidth="1"/>
    <col min="40" max="40" width="34.42578125" bestFit="1" customWidth="1"/>
    <col min="41" max="41" width="10.5703125" bestFit="1" customWidth="1"/>
    <col min="42" max="42" width="13.42578125" bestFit="1" customWidth="1"/>
    <col min="50" max="50" width="9.85546875" bestFit="1" customWidth="1"/>
  </cols>
  <sheetData>
    <row r="1" spans="1:22" s="147" customFormat="1" ht="18.75" thickBot="1" x14ac:dyDescent="0.3">
      <c r="A1" s="146"/>
      <c r="C1" s="148" t="s">
        <v>178</v>
      </c>
      <c r="J1" s="148"/>
    </row>
    <row r="2" spans="1:22" s="150" customFormat="1" ht="7.5" customHeight="1" thickTop="1" x14ac:dyDescent="0.25">
      <c r="A2" s="149"/>
    </row>
    <row r="3" spans="1:22" s="36" customFormat="1" ht="15" x14ac:dyDescent="0.25">
      <c r="A3" s="149"/>
      <c r="C3" s="151" t="s">
        <v>177</v>
      </c>
      <c r="D3" s="152"/>
      <c r="E3" s="153"/>
      <c r="H3" s="121" t="s">
        <v>174</v>
      </c>
      <c r="I3" s="121"/>
      <c r="J3" s="121"/>
      <c r="K3" s="121"/>
      <c r="L3" s="121"/>
      <c r="P3" s="1"/>
    </row>
    <row r="4" spans="1:22" s="36" customFormat="1" ht="8.25" customHeight="1" x14ac:dyDescent="0.2">
      <c r="A4" s="149"/>
      <c r="I4"/>
      <c r="J4"/>
      <c r="K4"/>
      <c r="L4" s="1"/>
      <c r="M4" s="1"/>
      <c r="N4"/>
      <c r="O4"/>
      <c r="P4"/>
      <c r="Q4" s="155"/>
      <c r="R4" s="155"/>
      <c r="S4" s="155"/>
      <c r="T4" s="155"/>
      <c r="U4" s="155"/>
      <c r="V4"/>
    </row>
    <row r="5" spans="1:22" s="36" customFormat="1" ht="18" customHeight="1" x14ac:dyDescent="0.25">
      <c r="A5" s="149"/>
      <c r="C5" s="114" t="s">
        <v>164</v>
      </c>
      <c r="D5" s="415" t="s">
        <v>31</v>
      </c>
      <c r="E5" s="416"/>
      <c r="F5" s="416"/>
      <c r="G5" s="4"/>
      <c r="H5" s="269" t="s">
        <v>203</v>
      </c>
      <c r="J5" s="23"/>
      <c r="K5" s="23"/>
      <c r="L5" s="154"/>
      <c r="M5" s="154"/>
      <c r="N5" s="154"/>
      <c r="O5"/>
      <c r="P5"/>
      <c r="Q5" s="155"/>
      <c r="R5" s="155"/>
      <c r="S5" s="155"/>
      <c r="T5" s="155"/>
      <c r="U5" s="155"/>
      <c r="V5"/>
    </row>
    <row r="6" spans="1:22" ht="5.25" customHeight="1" x14ac:dyDescent="0.2">
      <c r="R6" s="155"/>
      <c r="S6" s="155"/>
      <c r="T6" s="155"/>
      <c r="U6" s="155"/>
    </row>
    <row r="7" spans="1:22" ht="6" customHeight="1" thickBot="1" x14ac:dyDescent="0.25">
      <c r="H7" s="13"/>
      <c r="J7" s="36"/>
      <c r="K7" s="36"/>
      <c r="Q7" s="155"/>
      <c r="R7" s="155"/>
      <c r="S7" s="155"/>
      <c r="T7" s="155"/>
      <c r="U7" s="155"/>
    </row>
    <row r="8" spans="1:22" ht="18" thickBot="1" x14ac:dyDescent="0.35">
      <c r="C8" s="157" t="s">
        <v>161</v>
      </c>
      <c r="D8" s="158"/>
      <c r="E8" s="159"/>
      <c r="F8" s="80" t="s">
        <v>0</v>
      </c>
      <c r="G8" s="80"/>
      <c r="H8" s="81" t="s">
        <v>1</v>
      </c>
      <c r="J8" s="417" t="s">
        <v>238</v>
      </c>
      <c r="K8" s="418"/>
      <c r="L8" s="418"/>
      <c r="M8" s="418"/>
      <c r="N8" s="419"/>
      <c r="O8" s="72"/>
      <c r="P8" s="16"/>
      <c r="Q8" s="18"/>
      <c r="R8" s="16"/>
      <c r="S8" s="16"/>
      <c r="T8" s="16"/>
      <c r="U8" s="16"/>
      <c r="V8" s="16"/>
    </row>
    <row r="9" spans="1:22" ht="15.75" thickTop="1" x14ac:dyDescent="0.25">
      <c r="C9" s="25" t="s">
        <v>165</v>
      </c>
      <c r="D9" s="51"/>
      <c r="E9" s="84"/>
      <c r="F9" s="73">
        <v>5.75</v>
      </c>
      <c r="G9" s="160"/>
      <c r="H9" s="74">
        <v>13</v>
      </c>
      <c r="J9" s="420" t="s">
        <v>22</v>
      </c>
      <c r="K9" s="308"/>
      <c r="L9" s="422" t="s">
        <v>237</v>
      </c>
      <c r="M9" s="308"/>
      <c r="N9" s="424" t="s">
        <v>21</v>
      </c>
      <c r="O9" s="33"/>
      <c r="P9" s="4"/>
      <c r="Q9" s="155"/>
      <c r="R9" s="4"/>
      <c r="S9" s="4"/>
      <c r="T9" s="4"/>
      <c r="U9" s="4"/>
      <c r="V9" s="4"/>
    </row>
    <row r="10" spans="1:22" ht="12.75" customHeight="1" x14ac:dyDescent="0.25">
      <c r="C10" s="25" t="s">
        <v>166</v>
      </c>
      <c r="D10" s="26"/>
      <c r="E10" s="84"/>
      <c r="F10" s="73">
        <v>5.5</v>
      </c>
      <c r="G10" s="160"/>
      <c r="H10" s="74">
        <v>13.75</v>
      </c>
      <c r="J10" s="421"/>
      <c r="K10" s="116"/>
      <c r="L10" s="423"/>
      <c r="M10" s="46"/>
      <c r="N10" s="425"/>
      <c r="O10" s="5"/>
      <c r="P10" s="4"/>
      <c r="Q10" s="155"/>
      <c r="R10" s="4"/>
      <c r="S10" s="4"/>
      <c r="T10" s="4"/>
      <c r="U10" s="4"/>
      <c r="V10" s="4"/>
    </row>
    <row r="11" spans="1:22" ht="15" x14ac:dyDescent="0.25">
      <c r="C11" s="24" t="s">
        <v>167</v>
      </c>
      <c r="E11" s="161"/>
      <c r="F11" s="132">
        <f>IndemPc</f>
        <v>5.91</v>
      </c>
      <c r="G11" s="132"/>
      <c r="H11" s="133">
        <f>IndemPs</f>
        <v>13.76</v>
      </c>
      <c r="J11" s="310">
        <f>IF(InsSelc="Yield Protection",F11*F20,F11)</f>
        <v>5.91</v>
      </c>
      <c r="K11" s="116"/>
      <c r="L11" s="311">
        <f>IF(InsSelc="Yield Protection",F11*F20,F11)</f>
        <v>5.91</v>
      </c>
      <c r="M11" s="309"/>
      <c r="N11" s="312">
        <f>IF(InsSels="Yield Protection",H11*H20,H11)</f>
        <v>13.76</v>
      </c>
      <c r="O11" s="6"/>
      <c r="P11" s="4"/>
      <c r="Q11" s="1"/>
      <c r="R11" s="4"/>
      <c r="S11" s="4"/>
      <c r="T11" s="4"/>
      <c r="U11" s="4"/>
      <c r="V11" s="4"/>
    </row>
    <row r="12" spans="1:22" ht="23.25" customHeight="1" thickBot="1" x14ac:dyDescent="0.35">
      <c r="C12" s="162" t="s">
        <v>160</v>
      </c>
      <c r="E12" s="161"/>
      <c r="F12" s="163"/>
      <c r="G12" s="163"/>
      <c r="H12" s="164"/>
      <c r="J12" s="265"/>
      <c r="K12" s="116"/>
      <c r="L12" s="282"/>
      <c r="M12" s="116"/>
      <c r="N12" s="283"/>
      <c r="O12" s="33"/>
      <c r="P12" s="2"/>
      <c r="R12" s="1"/>
      <c r="S12" s="1"/>
      <c r="T12" s="2"/>
      <c r="U12" s="2"/>
      <c r="V12" s="2"/>
    </row>
    <row r="13" spans="1:22" ht="15.75" thickTop="1" x14ac:dyDescent="0.25">
      <c r="C13" s="25" t="s">
        <v>155</v>
      </c>
      <c r="D13" s="26"/>
      <c r="E13" s="84"/>
      <c r="F13" s="75">
        <v>180</v>
      </c>
      <c r="G13" s="163"/>
      <c r="H13" s="76">
        <v>50</v>
      </c>
      <c r="J13" s="265"/>
      <c r="K13" s="116"/>
      <c r="L13" s="282"/>
      <c r="M13" s="116"/>
      <c r="N13" s="283"/>
      <c r="O13" s="33"/>
      <c r="P13" s="2"/>
      <c r="R13" s="1"/>
      <c r="S13" s="1"/>
      <c r="T13" s="2"/>
      <c r="U13" s="2"/>
      <c r="V13" s="2"/>
    </row>
    <row r="14" spans="1:22" ht="15" x14ac:dyDescent="0.25">
      <c r="C14" s="25" t="s">
        <v>158</v>
      </c>
      <c r="D14" s="26"/>
      <c r="E14" s="84"/>
      <c r="F14" s="125">
        <v>45099</v>
      </c>
      <c r="G14" s="167"/>
      <c r="H14" s="126">
        <v>45082</v>
      </c>
      <c r="J14" s="313"/>
      <c r="K14" s="315"/>
      <c r="L14" s="320">
        <f>F14</f>
        <v>45099</v>
      </c>
      <c r="M14" s="286"/>
      <c r="N14" s="321">
        <f>H14</f>
        <v>45082</v>
      </c>
      <c r="O14" s="168"/>
      <c r="R14" s="155"/>
      <c r="S14" s="155"/>
      <c r="T14" s="155"/>
      <c r="U14" s="155"/>
    </row>
    <row r="15" spans="1:22" ht="15" x14ac:dyDescent="0.25">
      <c r="C15" s="25" t="s">
        <v>228</v>
      </c>
      <c r="D15" s="26"/>
      <c r="E15" s="84"/>
      <c r="F15" s="302"/>
      <c r="G15" s="302"/>
      <c r="H15" s="303"/>
      <c r="J15" s="313">
        <v>0</v>
      </c>
      <c r="K15" s="315"/>
      <c r="L15" s="317">
        <f ca="1">MIN(F13,IF(Region="Central and North MO",AO114*F13,AQ114*F13))</f>
        <v>108.93599999751896</v>
      </c>
      <c r="M15" s="318"/>
      <c r="N15" s="319">
        <f ca="1">MIN(H13,IF(Region="Central and North MO",AP114*H13,AR114*H13))</f>
        <v>44.666666666045785</v>
      </c>
      <c r="Q15" s="272"/>
      <c r="R15" s="155"/>
      <c r="S15" s="155"/>
      <c r="T15" s="155"/>
      <c r="U15" s="155"/>
    </row>
    <row r="16" spans="1:22" ht="23.25" customHeight="1" thickBot="1" x14ac:dyDescent="0.35">
      <c r="C16" s="131" t="s">
        <v>12</v>
      </c>
      <c r="D16" s="32"/>
      <c r="E16" s="85"/>
      <c r="F16" s="82"/>
      <c r="G16" s="82"/>
      <c r="H16" s="83"/>
      <c r="J16" s="41"/>
      <c r="K16" s="42"/>
      <c r="L16" s="287"/>
      <c r="M16" s="288"/>
      <c r="N16" s="289"/>
      <c r="Q16" s="272"/>
      <c r="R16" s="155"/>
      <c r="S16" s="155"/>
      <c r="T16" s="155"/>
      <c r="U16" s="155"/>
    </row>
    <row r="17" spans="1:27" ht="29.25" customHeight="1" thickTop="1" x14ac:dyDescent="0.25">
      <c r="C17" s="25" t="s">
        <v>152</v>
      </c>
      <c r="D17" s="51"/>
      <c r="E17" s="413" t="s">
        <v>150</v>
      </c>
      <c r="F17" s="413"/>
      <c r="G17" s="161"/>
      <c r="H17" s="304" t="s">
        <v>150</v>
      </c>
      <c r="J17" s="414" t="str">
        <f>InsSelc</f>
        <v>Revenue Protection</v>
      </c>
      <c r="K17" s="114"/>
      <c r="L17" s="405" t="str">
        <f>InsSelc</f>
        <v>Revenue Protection</v>
      </c>
      <c r="M17" s="305"/>
      <c r="N17" s="406" t="str">
        <f>InsSels</f>
        <v>Revenue Protection</v>
      </c>
      <c r="O17" s="170"/>
      <c r="Q17" s="16" t="s">
        <v>247</v>
      </c>
      <c r="R17" s="325" t="s">
        <v>0</v>
      </c>
      <c r="S17" s="325" t="s">
        <v>192</v>
      </c>
      <c r="T17" s="16" t="s">
        <v>248</v>
      </c>
      <c r="U17" s="16"/>
    </row>
    <row r="18" spans="1:27" ht="15" customHeight="1" x14ac:dyDescent="0.25">
      <c r="C18" s="25" t="s">
        <v>214</v>
      </c>
      <c r="D18" s="51"/>
      <c r="E18" s="268"/>
      <c r="F18" s="278">
        <v>0.55000000000000004</v>
      </c>
      <c r="G18" s="161">
        <v>60</v>
      </c>
      <c r="H18" s="277">
        <v>0.6</v>
      </c>
      <c r="J18" s="414"/>
      <c r="K18" s="114"/>
      <c r="L18" s="405"/>
      <c r="M18" s="305"/>
      <c r="N18" s="406"/>
      <c r="O18" s="170"/>
      <c r="Q18" s="16" t="s">
        <v>204</v>
      </c>
      <c r="R18" s="326">
        <f>VLOOKUP(County,RMAData!$A$3:$F$117,5)</f>
        <v>45021</v>
      </c>
      <c r="S18" s="326">
        <f>VLOOKUP(County,RMADates[],6)</f>
        <v>45036</v>
      </c>
      <c r="T18" s="16" t="s">
        <v>208</v>
      </c>
      <c r="U18" s="16"/>
    </row>
    <row r="19" spans="1:27" ht="15" x14ac:dyDescent="0.25">
      <c r="C19" s="129" t="s">
        <v>11</v>
      </c>
      <c r="D19" s="51"/>
      <c r="E19" s="77"/>
      <c r="F19" s="73">
        <v>20</v>
      </c>
      <c r="G19" s="160"/>
      <c r="H19" s="74">
        <v>15</v>
      </c>
      <c r="J19" s="414"/>
      <c r="K19" s="114"/>
      <c r="L19" s="405"/>
      <c r="M19" s="305"/>
      <c r="N19" s="406"/>
      <c r="O19" s="170"/>
      <c r="Q19" s="16" t="s">
        <v>210</v>
      </c>
      <c r="R19" s="326">
        <f>VLOOKUP(County,RMADates[],3)</f>
        <v>45077</v>
      </c>
      <c r="S19" s="326">
        <f>VLOOKUP(County,RMADates[],4)</f>
        <v>45097</v>
      </c>
      <c r="T19" s="16" t="s">
        <v>221</v>
      </c>
      <c r="U19" s="16"/>
    </row>
    <row r="20" spans="1:27" ht="15" x14ac:dyDescent="0.25">
      <c r="C20" s="25" t="s">
        <v>169</v>
      </c>
      <c r="D20" s="51"/>
      <c r="E20" s="77"/>
      <c r="F20" s="297">
        <v>0.9</v>
      </c>
      <c r="G20" s="86"/>
      <c r="H20" s="298">
        <v>1</v>
      </c>
      <c r="J20" s="142"/>
      <c r="K20" s="299"/>
      <c r="L20" s="300"/>
      <c r="M20" s="299"/>
      <c r="N20" s="301"/>
      <c r="O20" s="171"/>
      <c r="Q20" s="16" t="s">
        <v>205</v>
      </c>
      <c r="R20" s="326">
        <f>VLOOKUP(County,RMADates[],3)+1</f>
        <v>45078</v>
      </c>
      <c r="S20" s="326">
        <f>VLOOKUP(County,RMADates[],4)+1</f>
        <v>45098</v>
      </c>
      <c r="T20" s="16" t="s">
        <v>222</v>
      </c>
      <c r="U20" s="16"/>
    </row>
    <row r="21" spans="1:27" ht="15" x14ac:dyDescent="0.25">
      <c r="C21" s="25" t="s">
        <v>157</v>
      </c>
      <c r="D21" s="51"/>
      <c r="E21" s="77"/>
      <c r="F21" s="75">
        <v>160</v>
      </c>
      <c r="G21" s="163"/>
      <c r="H21" s="76">
        <v>45</v>
      </c>
      <c r="J21" s="41"/>
      <c r="K21" s="42"/>
      <c r="L21" s="287"/>
      <c r="M21" s="288"/>
      <c r="N21" s="289"/>
      <c r="Q21" s="16" t="s">
        <v>206</v>
      </c>
      <c r="R21" s="326">
        <f>VLOOKUP($D$5,RMADates[],3)+PlPerc</f>
        <v>45097</v>
      </c>
      <c r="S21" s="326">
        <f>VLOOKUP(County,RMADates[],4)+PlPers</f>
        <v>45122</v>
      </c>
      <c r="T21" s="16" t="s">
        <v>223</v>
      </c>
      <c r="U21" s="16"/>
    </row>
    <row r="22" spans="1:27" ht="15" x14ac:dyDescent="0.25">
      <c r="C22" s="25" t="s">
        <v>8</v>
      </c>
      <c r="D22" s="51"/>
      <c r="E22" s="77"/>
      <c r="F22" s="78">
        <v>0.75</v>
      </c>
      <c r="G22" s="86"/>
      <c r="H22" s="79">
        <v>0.75</v>
      </c>
      <c r="J22" s="279"/>
      <c r="K22" s="290"/>
      <c r="L22" s="291"/>
      <c r="M22" s="290"/>
      <c r="N22" s="292"/>
      <c r="O22" s="171"/>
      <c r="Q22" s="16" t="s">
        <v>207</v>
      </c>
      <c r="R22" s="326">
        <f>VLOOKUP(County,RMADates[],3)+J102</f>
        <v>45087</v>
      </c>
      <c r="S22" s="326">
        <f>VLOOKUP(County,RMADates[],4)+J102</f>
        <v>45107</v>
      </c>
      <c r="T22" s="16" t="s">
        <v>224</v>
      </c>
      <c r="U22" s="16"/>
    </row>
    <row r="23" spans="1:27" ht="15" x14ac:dyDescent="0.25">
      <c r="C23" s="25" t="s">
        <v>227</v>
      </c>
      <c r="D23" s="51"/>
      <c r="E23" s="306"/>
      <c r="G23" s="86"/>
      <c r="H23" s="174"/>
      <c r="J23" s="307"/>
      <c r="K23" s="290"/>
      <c r="L23" s="291">
        <f>IF(F14&lt;FinPlc,InsCovc,IF(F14&gt;(EndPlc),F18,InsCovc-(F14-FinPlc)/100))</f>
        <v>0.55000000000000004</v>
      </c>
      <c r="M23" s="290"/>
      <c r="N23" s="87">
        <f>IF(H14&lt;FinPLs,InsCovs,IF(H14&gt;(EndPls),H18,InsCovs-(H14-FinPLs)/100))</f>
        <v>0.75</v>
      </c>
      <c r="O23" s="171"/>
    </row>
    <row r="24" spans="1:27" ht="6" customHeight="1" x14ac:dyDescent="0.2">
      <c r="C24" s="172"/>
      <c r="H24" s="174"/>
      <c r="J24" s="41"/>
      <c r="K24" s="42"/>
      <c r="L24" s="293"/>
      <c r="M24" s="42"/>
      <c r="N24" s="294"/>
    </row>
    <row r="25" spans="1:27" s="4" customFormat="1" ht="12.75" customHeight="1" x14ac:dyDescent="0.2">
      <c r="A25" s="156"/>
      <c r="B25"/>
      <c r="C25" s="115" t="s">
        <v>220</v>
      </c>
      <c r="H25" s="174"/>
      <c r="I25" s="2"/>
      <c r="J25" s="142">
        <f>APHc*InsCovc*J11*F18</f>
        <v>390.06000000000006</v>
      </c>
      <c r="K25" s="299"/>
      <c r="L25" s="300">
        <f>APHc*L23*IndemPc</f>
        <v>520.08000000000004</v>
      </c>
      <c r="M25" s="299"/>
      <c r="N25" s="301">
        <f>APHs*N23*IndemPs</f>
        <v>464.4</v>
      </c>
      <c r="AA25" s="175"/>
    </row>
    <row r="26" spans="1:27" s="1" customFormat="1" x14ac:dyDescent="0.2">
      <c r="A26" s="176"/>
      <c r="C26" s="177" t="s">
        <v>218</v>
      </c>
      <c r="H26" s="178"/>
      <c r="J26" s="138">
        <f>F22*APHc</f>
        <v>120</v>
      </c>
      <c r="K26" s="139"/>
      <c r="L26" s="140">
        <f>L23*APHc</f>
        <v>88</v>
      </c>
      <c r="M26" s="139"/>
      <c r="N26" s="141">
        <f>APHs*N23</f>
        <v>33.75</v>
      </c>
      <c r="O26" s="139"/>
      <c r="AA26" s="165"/>
    </row>
    <row r="27" spans="1:27" s="2" customFormat="1" ht="23.25" customHeight="1" thickBot="1" x14ac:dyDescent="0.35">
      <c r="A27" s="149"/>
      <c r="B27" s="36"/>
      <c r="C27" s="411" t="s">
        <v>20</v>
      </c>
      <c r="D27" s="412"/>
      <c r="E27" s="54"/>
      <c r="F27" s="4"/>
      <c r="G27" s="4"/>
      <c r="H27" s="174"/>
      <c r="J27" s="41"/>
      <c r="K27" s="42"/>
      <c r="L27" s="293"/>
      <c r="M27" s="42"/>
      <c r="N27" s="294"/>
      <c r="Q27" s="1"/>
    </row>
    <row r="28" spans="1:27" s="2" customFormat="1" ht="15.75" thickTop="1" x14ac:dyDescent="0.25">
      <c r="A28" s="149"/>
      <c r="B28"/>
      <c r="C28" s="129" t="s">
        <v>10</v>
      </c>
      <c r="D28" s="51"/>
      <c r="E28" s="51"/>
      <c r="H28" s="10"/>
      <c r="I28" s="8"/>
      <c r="J28" s="384"/>
      <c r="K28" s="347"/>
      <c r="L28" s="362"/>
      <c r="M28" s="348"/>
      <c r="N28" s="383">
        <v>12</v>
      </c>
      <c r="R28" s="1"/>
    </row>
    <row r="29" spans="1:27" s="2" customFormat="1" ht="12.75" customHeight="1" thickTop="1" x14ac:dyDescent="0.25">
      <c r="A29" s="149"/>
      <c r="B29"/>
      <c r="C29" s="47" t="s">
        <v>16</v>
      </c>
      <c r="D29" s="32"/>
      <c r="E29" s="32"/>
      <c r="F29" s="51"/>
      <c r="G29" s="51"/>
      <c r="H29" s="10"/>
      <c r="J29" s="349"/>
      <c r="K29" s="347"/>
      <c r="L29" s="347"/>
      <c r="M29" s="347"/>
      <c r="N29" s="350"/>
      <c r="Q29" s="276"/>
      <c r="V29" s="276"/>
    </row>
    <row r="30" spans="1:27" s="2" customFormat="1" ht="12.75" customHeight="1" x14ac:dyDescent="0.25">
      <c r="A30" s="156"/>
      <c r="B30"/>
      <c r="C30" s="24" t="s">
        <v>240</v>
      </c>
      <c r="E30" s="51"/>
      <c r="H30" s="10"/>
      <c r="J30" s="346"/>
      <c r="K30" s="351"/>
      <c r="L30" s="352">
        <v>95</v>
      </c>
      <c r="M30" s="348"/>
      <c r="N30" s="353">
        <v>60</v>
      </c>
      <c r="O30" s="9"/>
      <c r="Q30" s="271"/>
      <c r="R30" s="273"/>
      <c r="S30" s="273"/>
      <c r="V30" s="276"/>
    </row>
    <row r="31" spans="1:27" s="2" customFormat="1" ht="15" x14ac:dyDescent="0.25">
      <c r="A31" s="156"/>
      <c r="B31"/>
      <c r="C31" s="129" t="s">
        <v>2</v>
      </c>
      <c r="D31" s="51"/>
      <c r="E31" s="51"/>
      <c r="H31" s="10"/>
      <c r="J31" s="354"/>
      <c r="K31" s="355"/>
      <c r="L31" s="356">
        <v>45</v>
      </c>
      <c r="M31" s="357"/>
      <c r="N31" s="358"/>
      <c r="O31" s="9"/>
      <c r="Q31" s="271"/>
      <c r="R31" s="273"/>
      <c r="S31" s="273"/>
      <c r="V31" s="276"/>
    </row>
    <row r="32" spans="1:27" s="2" customFormat="1" ht="15" x14ac:dyDescent="0.25">
      <c r="A32" s="156"/>
      <c r="B32"/>
      <c r="C32" s="25" t="s">
        <v>162</v>
      </c>
      <c r="D32" s="51"/>
      <c r="E32" s="51"/>
      <c r="H32" s="10"/>
      <c r="J32" s="354">
        <v>30</v>
      </c>
      <c r="K32" s="355"/>
      <c r="L32" s="356">
        <v>30</v>
      </c>
      <c r="M32" s="357"/>
      <c r="N32" s="358"/>
      <c r="O32" s="9"/>
      <c r="Q32" s="271"/>
      <c r="R32" s="273"/>
      <c r="S32" s="273"/>
      <c r="V32" s="276"/>
    </row>
    <row r="33" spans="1:22" s="2" customFormat="1" ht="15" x14ac:dyDescent="0.25">
      <c r="A33" s="156"/>
      <c r="B33"/>
      <c r="C33" s="129" t="s">
        <v>3</v>
      </c>
      <c r="D33" s="51"/>
      <c r="E33" s="51"/>
      <c r="H33" s="10"/>
      <c r="J33" s="354">
        <v>2</v>
      </c>
      <c r="K33" s="355"/>
      <c r="L33" s="356">
        <v>6</v>
      </c>
      <c r="M33" s="357"/>
      <c r="N33" s="358">
        <v>6</v>
      </c>
      <c r="O33" s="9"/>
      <c r="Q33" s="271"/>
      <c r="V33" s="276"/>
    </row>
    <row r="34" spans="1:22" s="2" customFormat="1" ht="15" x14ac:dyDescent="0.25">
      <c r="A34" s="156"/>
      <c r="B34"/>
      <c r="C34" s="129" t="s">
        <v>4</v>
      </c>
      <c r="D34" s="51"/>
      <c r="E34" s="51"/>
      <c r="H34" s="10"/>
      <c r="J34" s="354">
        <v>2</v>
      </c>
      <c r="K34" s="359"/>
      <c r="L34" s="356">
        <v>4</v>
      </c>
      <c r="M34" s="357"/>
      <c r="N34" s="358">
        <v>4</v>
      </c>
      <c r="O34" s="8"/>
      <c r="Q34" s="271"/>
      <c r="R34" s="1"/>
      <c r="V34" s="276"/>
    </row>
    <row r="35" spans="1:22" s="2" customFormat="1" ht="15" x14ac:dyDescent="0.25">
      <c r="A35" s="156"/>
      <c r="B35"/>
      <c r="C35" s="407" t="s">
        <v>9</v>
      </c>
      <c r="D35" s="408"/>
      <c r="E35" s="408"/>
      <c r="F35" s="408"/>
      <c r="G35" s="408"/>
      <c r="H35" s="409"/>
      <c r="J35" s="354"/>
      <c r="K35" s="357"/>
      <c r="L35" s="356"/>
      <c r="M35" s="357"/>
      <c r="N35" s="358"/>
      <c r="Q35" s="271"/>
      <c r="R35" s="276"/>
      <c r="V35" s="276"/>
    </row>
    <row r="36" spans="1:22" s="2" customFormat="1" ht="15" x14ac:dyDescent="0.25">
      <c r="A36" s="156"/>
      <c r="B36"/>
      <c r="C36" s="48" t="s">
        <v>17</v>
      </c>
      <c r="D36" s="52"/>
      <c r="E36" s="52"/>
      <c r="F36" s="182" t="s">
        <v>24</v>
      </c>
      <c r="G36" s="182"/>
      <c r="H36" s="61" t="s">
        <v>1</v>
      </c>
      <c r="J36" s="360"/>
      <c r="K36" s="361"/>
      <c r="L36" s="362"/>
      <c r="M36" s="348"/>
      <c r="N36" s="350"/>
      <c r="O36" s="8"/>
      <c r="Q36" s="271"/>
      <c r="R36" s="1"/>
      <c r="V36" s="276"/>
    </row>
    <row r="37" spans="1:22" s="2" customFormat="1" ht="15" x14ac:dyDescent="0.25">
      <c r="A37" s="156"/>
      <c r="B37"/>
      <c r="C37" s="15" t="s">
        <v>163</v>
      </c>
      <c r="D37" s="184"/>
      <c r="E37" s="184"/>
      <c r="F37" s="53">
        <v>0.3</v>
      </c>
      <c r="G37" s="184"/>
      <c r="H37" s="40">
        <v>0.05</v>
      </c>
      <c r="J37" s="363"/>
      <c r="K37" s="364"/>
      <c r="L37" s="373">
        <f ca="1">F37*L15</f>
        <v>32.68079999925569</v>
      </c>
      <c r="M37" s="374"/>
      <c r="N37" s="375">
        <f ca="1">H37*N15</f>
        <v>2.2333333333022893</v>
      </c>
      <c r="O37" s="11"/>
      <c r="Q37" s="271"/>
      <c r="V37" s="276"/>
    </row>
    <row r="38" spans="1:22" s="2" customFormat="1" ht="15" x14ac:dyDescent="0.25">
      <c r="A38" s="156"/>
      <c r="B38"/>
      <c r="C38" s="129" t="s">
        <v>3</v>
      </c>
      <c r="D38" s="51"/>
      <c r="E38" s="51"/>
      <c r="H38" s="10"/>
      <c r="J38" s="354"/>
      <c r="K38" s="355"/>
      <c r="L38" s="356">
        <v>11</v>
      </c>
      <c r="M38" s="357"/>
      <c r="N38" s="358">
        <v>6</v>
      </c>
      <c r="O38" s="9"/>
      <c r="Q38" s="271"/>
      <c r="V38" s="276"/>
    </row>
    <row r="39" spans="1:22" s="2" customFormat="1" ht="15" x14ac:dyDescent="0.25">
      <c r="A39" s="156"/>
      <c r="B39"/>
      <c r="C39" s="129" t="s">
        <v>9</v>
      </c>
      <c r="H39" s="10"/>
      <c r="J39" s="354"/>
      <c r="K39" s="355"/>
      <c r="L39" s="356"/>
      <c r="M39" s="357"/>
      <c r="N39" s="358"/>
      <c r="O39" s="9"/>
      <c r="Q39" s="271"/>
      <c r="V39" s="276"/>
    </row>
    <row r="40" spans="1:22" s="186" customFormat="1" ht="12.75" customHeight="1" x14ac:dyDescent="0.25">
      <c r="A40" s="185"/>
      <c r="B40" s="69"/>
      <c r="C40" s="3" t="s">
        <v>4</v>
      </c>
      <c r="D40" s="2"/>
      <c r="E40" s="2"/>
      <c r="H40" s="187"/>
      <c r="I40" s="69"/>
      <c r="J40" s="365"/>
      <c r="K40" s="366"/>
      <c r="L40" s="367">
        <v>15</v>
      </c>
      <c r="M40" s="357"/>
      <c r="N40" s="368">
        <v>15</v>
      </c>
      <c r="O40" s="28"/>
      <c r="Q40" s="271"/>
      <c r="R40" s="2"/>
      <c r="V40" s="276"/>
    </row>
    <row r="41" spans="1:22" s="39" customFormat="1" ht="15.75" thickBot="1" x14ac:dyDescent="0.3">
      <c r="A41" s="188"/>
      <c r="B41" s="189"/>
      <c r="C41" s="102" t="s">
        <v>14</v>
      </c>
      <c r="D41" s="190"/>
      <c r="E41" s="191"/>
      <c r="F41" s="192"/>
      <c r="G41" s="193"/>
      <c r="H41" s="194"/>
      <c r="I41" s="100"/>
      <c r="J41" s="369">
        <f>SUM(J28:J40)</f>
        <v>34</v>
      </c>
      <c r="K41" s="370"/>
      <c r="L41" s="371">
        <f ca="1">SUM(L28:L40)</f>
        <v>238.6807999992557</v>
      </c>
      <c r="M41" s="370"/>
      <c r="N41" s="372">
        <f ca="1">SUM(N28:N40)</f>
        <v>105.23333333330228</v>
      </c>
      <c r="O41" s="104"/>
    </row>
    <row r="42" spans="1:22" s="2" customFormat="1" ht="13.5" thickTop="1" x14ac:dyDescent="0.2">
      <c r="A42" s="156"/>
      <c r="B42"/>
      <c r="C42" s="195"/>
      <c r="D42" s="186"/>
      <c r="E42" s="186"/>
      <c r="H42" s="10"/>
      <c r="J42" s="38"/>
      <c r="K42" s="29"/>
      <c r="L42" s="196"/>
      <c r="M42" s="197"/>
      <c r="N42" s="198"/>
      <c r="O42" s="29"/>
      <c r="Q42" s="166"/>
    </row>
    <row r="43" spans="1:22" s="2" customFormat="1" x14ac:dyDescent="0.2">
      <c r="A43" s="156"/>
      <c r="B43"/>
      <c r="C43" s="3" t="s">
        <v>13</v>
      </c>
      <c r="H43" s="10"/>
      <c r="J43" s="88">
        <f>J15*$F9</f>
        <v>0</v>
      </c>
      <c r="K43" s="49"/>
      <c r="L43" s="89">
        <f ca="1">L15*$F9</f>
        <v>626.38199998573407</v>
      </c>
      <c r="M43" s="90"/>
      <c r="N43" s="50">
        <f ca="1">N15*$H9</f>
        <v>580.6666666585952</v>
      </c>
      <c r="O43" s="90"/>
      <c r="Q43" s="166"/>
    </row>
    <row r="44" spans="1:22" s="2" customFormat="1" x14ac:dyDescent="0.2">
      <c r="A44" s="156"/>
      <c r="B44"/>
      <c r="C44" s="3" t="s">
        <v>6</v>
      </c>
      <c r="H44" s="10"/>
      <c r="J44" s="88">
        <f>IF(InsSelc="Yield Protection",J26*F18*J11,RevGuarc)</f>
        <v>390.06000000000006</v>
      </c>
      <c r="K44" s="49"/>
      <c r="L44" s="89">
        <f ca="1">IF(InsSelc="Yield Protection",RepYPIndc,RepRPIndc)</f>
        <v>0</v>
      </c>
      <c r="M44" s="90"/>
      <c r="N44" s="50">
        <f>IF(H14&gt;EndPlc+1,Crop1Pmt*(1-Crop1Perc),0)</f>
        <v>0</v>
      </c>
      <c r="O44" s="39"/>
      <c r="Q44" s="165"/>
    </row>
    <row r="45" spans="1:22" s="2" customFormat="1" x14ac:dyDescent="0.2">
      <c r="A45" s="156"/>
      <c r="B45"/>
      <c r="C45" s="3" t="s">
        <v>5</v>
      </c>
      <c r="H45" s="10"/>
      <c r="J45" s="88"/>
      <c r="K45" s="49"/>
      <c r="L45" s="89"/>
      <c r="M45" s="90"/>
      <c r="N45" s="50">
        <f ca="1">IF(InsSels="Yield Protection",YPInds,RPInds)</f>
        <v>0</v>
      </c>
      <c r="O45" s="90"/>
      <c r="Q45" s="169"/>
    </row>
    <row r="46" spans="1:22" s="199" customFormat="1" ht="15.75" thickBot="1" x14ac:dyDescent="0.3">
      <c r="A46" s="156"/>
      <c r="B46"/>
      <c r="C46" s="66" t="s">
        <v>15</v>
      </c>
      <c r="D46" s="64"/>
      <c r="E46" s="65"/>
      <c r="F46" s="64"/>
      <c r="G46" s="65"/>
      <c r="H46" s="67"/>
      <c r="I46" s="70"/>
      <c r="J46" s="97">
        <f>SUM(J43:J45)</f>
        <v>390.06000000000006</v>
      </c>
      <c r="K46" s="98"/>
      <c r="L46" s="99">
        <f ca="1">SUM(L43:L45)</f>
        <v>626.38199998573407</v>
      </c>
      <c r="M46" s="100"/>
      <c r="N46" s="101">
        <f ca="1">SUM(N43:N45)</f>
        <v>580.6666666585952</v>
      </c>
      <c r="O46" s="100"/>
      <c r="Q46" s="322"/>
      <c r="R46" s="2"/>
    </row>
    <row r="47" spans="1:22" s="39" customFormat="1" ht="16.5" thickTop="1" thickBot="1" x14ac:dyDescent="0.3">
      <c r="A47" s="188"/>
      <c r="B47" s="189"/>
      <c r="C47" s="105" t="s">
        <v>19</v>
      </c>
      <c r="D47" s="106"/>
      <c r="E47" s="107"/>
      <c r="F47" s="106"/>
      <c r="G47" s="107"/>
      <c r="H47" s="108"/>
      <c r="I47" s="100"/>
      <c r="J47" s="109">
        <f>J46-J41-F19</f>
        <v>336.06000000000006</v>
      </c>
      <c r="K47" s="110"/>
      <c r="L47" s="111">
        <f ca="1">L46-L41-F19</f>
        <v>367.7011999864784</v>
      </c>
      <c r="M47" s="112"/>
      <c r="N47" s="113">
        <f ca="1">N46-N41</f>
        <v>475.43333332529289</v>
      </c>
      <c r="O47" s="100"/>
    </row>
    <row r="48" spans="1:22" s="2" customFormat="1" x14ac:dyDescent="0.2">
      <c r="A48" s="156"/>
      <c r="B48"/>
      <c r="C48" s="30"/>
      <c r="D48" s="14"/>
      <c r="E48" s="14"/>
      <c r="J48" s="31"/>
      <c r="K48" s="31"/>
      <c r="L48" s="31"/>
      <c r="M48" s="31"/>
      <c r="N48" s="12"/>
      <c r="O48" s="12"/>
      <c r="Q48" s="166"/>
    </row>
    <row r="49" spans="1:18" ht="14.25" x14ac:dyDescent="0.2">
      <c r="C49" s="16"/>
      <c r="D49" s="16"/>
      <c r="E49" s="16"/>
      <c r="J49" s="30"/>
      <c r="K49" s="30"/>
      <c r="L49" s="30"/>
      <c r="M49" s="30"/>
      <c r="N49" s="30"/>
      <c r="O49" s="30"/>
      <c r="Q49" s="166"/>
      <c r="R49" s="2"/>
    </row>
    <row r="50" spans="1:18" ht="14.25" x14ac:dyDescent="0.2">
      <c r="C50" s="16"/>
      <c r="D50" s="16"/>
      <c r="E50" s="16"/>
      <c r="J50" s="200"/>
      <c r="K50" s="200"/>
      <c r="L50" s="200"/>
      <c r="M50" s="200"/>
      <c r="N50" s="200"/>
      <c r="Q50" s="166"/>
      <c r="R50" s="2"/>
    </row>
    <row r="51" spans="1:18" ht="14.25" x14ac:dyDescent="0.2">
      <c r="C51" s="16"/>
      <c r="D51" s="16"/>
      <c r="E51" s="16"/>
      <c r="Q51" s="166"/>
      <c r="R51" s="2"/>
    </row>
    <row r="52" spans="1:18" s="201" customFormat="1" ht="14.25" x14ac:dyDescent="0.2">
      <c r="A52" s="156"/>
      <c r="C52" s="202"/>
      <c r="D52" s="202"/>
      <c r="E52" s="202"/>
      <c r="F52" s="203"/>
      <c r="G52" s="203"/>
      <c r="H52" s="203"/>
      <c r="I52" s="203"/>
      <c r="J52" s="203"/>
      <c r="K52" s="203"/>
      <c r="L52" s="203"/>
      <c r="Q52" s="204"/>
      <c r="R52" s="205"/>
    </row>
    <row r="53" spans="1:18" x14ac:dyDescent="0.2">
      <c r="Q53" s="166"/>
      <c r="R53" s="2"/>
    </row>
    <row r="54" spans="1:18" x14ac:dyDescent="0.2">
      <c r="Q54" s="166"/>
      <c r="R54" s="2"/>
    </row>
    <row r="55" spans="1:18" x14ac:dyDescent="0.2">
      <c r="Q55" s="166"/>
      <c r="R55" s="2"/>
    </row>
    <row r="56" spans="1:18" x14ac:dyDescent="0.2">
      <c r="Q56" s="166"/>
      <c r="R56" s="2"/>
    </row>
    <row r="57" spans="1:18" x14ac:dyDescent="0.2">
      <c r="Q57" s="166"/>
      <c r="R57" s="2"/>
    </row>
    <row r="58" spans="1:18" x14ac:dyDescent="0.2">
      <c r="Q58" s="166"/>
      <c r="R58" s="2"/>
    </row>
    <row r="59" spans="1:18" x14ac:dyDescent="0.2">
      <c r="Q59" s="166"/>
      <c r="R59" s="2"/>
    </row>
    <row r="60" spans="1:18" x14ac:dyDescent="0.2">
      <c r="Q60" s="166"/>
      <c r="R60" s="2"/>
    </row>
    <row r="61" spans="1:18" x14ac:dyDescent="0.2">
      <c r="Q61" s="166"/>
      <c r="R61" s="2"/>
    </row>
    <row r="62" spans="1:18" x14ac:dyDescent="0.2">
      <c r="Q62" s="166"/>
      <c r="R62" s="2"/>
    </row>
    <row r="63" spans="1:18" x14ac:dyDescent="0.2">
      <c r="B63" s="13"/>
      <c r="Q63" s="166"/>
      <c r="R63" s="2"/>
    </row>
    <row r="64" spans="1:18" s="206" customFormat="1" x14ac:dyDescent="0.2">
      <c r="A64" s="156"/>
      <c r="B64"/>
      <c r="Q64" s="207"/>
    </row>
    <row r="65" spans="1:54" s="1" customFormat="1" x14ac:dyDescent="0.2">
      <c r="A65" s="156"/>
      <c r="B65"/>
      <c r="Q65" s="166"/>
      <c r="R65" s="2"/>
    </row>
    <row r="66" spans="1:54" s="1" customFormat="1" x14ac:dyDescent="0.2">
      <c r="A66" s="176"/>
      <c r="C66" s="34"/>
      <c r="D66" s="34"/>
      <c r="E66" s="34"/>
      <c r="Q66" s="166"/>
      <c r="R66" s="2"/>
      <c r="S66"/>
      <c r="AC66"/>
      <c r="AD66"/>
      <c r="AE66"/>
      <c r="AF66"/>
      <c r="AG66"/>
      <c r="AH66"/>
    </row>
    <row r="67" spans="1:54" s="1" customFormat="1" ht="14.25" x14ac:dyDescent="0.2">
      <c r="A67" s="176"/>
      <c r="C67" s="35"/>
      <c r="D67" s="35"/>
      <c r="E67" s="35"/>
      <c r="Q67" s="166"/>
      <c r="R67" s="2"/>
      <c r="S67"/>
      <c r="T67"/>
      <c r="U67"/>
      <c r="V67"/>
      <c r="W67"/>
      <c r="X67"/>
      <c r="Y67"/>
      <c r="Z67"/>
      <c r="AB67"/>
      <c r="AC67"/>
      <c r="AD67"/>
      <c r="AE67"/>
      <c r="AF67"/>
      <c r="AG67" s="18"/>
      <c r="AH67" s="208"/>
      <c r="AI67" s="208"/>
      <c r="AJ67" s="18"/>
    </row>
    <row r="68" spans="1:54" s="36" customFormat="1" x14ac:dyDescent="0.2">
      <c r="A68" s="149"/>
      <c r="C68" s="410"/>
      <c r="D68" s="410"/>
      <c r="E68" s="410"/>
      <c r="F68" s="410"/>
      <c r="G68" s="130"/>
      <c r="L68" s="209"/>
      <c r="M68" s="209"/>
      <c r="Q68" s="166"/>
      <c r="R68" s="2"/>
      <c r="S68"/>
      <c r="T68"/>
      <c r="U68"/>
      <c r="V68"/>
      <c r="W68"/>
      <c r="X68"/>
      <c r="Y68"/>
      <c r="Z68"/>
      <c r="AB68"/>
      <c r="AC68"/>
      <c r="AD68"/>
      <c r="AE68"/>
      <c r="AG68" s="155"/>
      <c r="AH68" s="208"/>
      <c r="AI68" s="208"/>
      <c r="AJ68" s="155"/>
      <c r="AQ68"/>
    </row>
    <row r="69" spans="1:54" x14ac:dyDescent="0.2">
      <c r="Q69" s="166"/>
      <c r="R69" s="2"/>
      <c r="X69" s="36"/>
      <c r="AG69" s="155"/>
      <c r="AH69" s="208"/>
      <c r="AI69" s="208"/>
      <c r="AJ69" s="155"/>
    </row>
    <row r="70" spans="1:54" x14ac:dyDescent="0.2">
      <c r="Q70" s="166"/>
      <c r="R70" s="2"/>
      <c r="U70" s="210"/>
      <c r="X70" s="36"/>
      <c r="AG70" s="155"/>
      <c r="AH70" s="208"/>
      <c r="AI70" s="208"/>
      <c r="AJ70" s="155"/>
      <c r="AQ70" s="211"/>
    </row>
    <row r="71" spans="1:54" x14ac:dyDescent="0.2">
      <c r="Q71" s="166"/>
      <c r="R71" s="2"/>
      <c r="U71" s="210"/>
      <c r="AF71" s="212"/>
      <c r="AG71" s="212"/>
      <c r="AH71" s="119"/>
      <c r="AI71" s="119"/>
      <c r="AJ71" s="212"/>
      <c r="AK71" s="212"/>
      <c r="AN71" s="211"/>
    </row>
    <row r="72" spans="1:54" x14ac:dyDescent="0.2">
      <c r="C72" s="213"/>
      <c r="D72" s="213"/>
      <c r="E72" s="213"/>
      <c r="F72" s="214"/>
      <c r="G72" s="214"/>
      <c r="H72" s="214"/>
      <c r="I72" s="214"/>
      <c r="J72" s="214"/>
      <c r="K72" s="214"/>
      <c r="L72" s="214"/>
      <c r="M72" s="214"/>
      <c r="N72" s="214"/>
      <c r="Q72" s="166"/>
      <c r="R72" s="2"/>
      <c r="T72" s="30"/>
      <c r="U72" s="30"/>
      <c r="V72" s="30"/>
      <c r="W72" s="30"/>
      <c r="X72" s="30"/>
      <c r="Y72" s="30"/>
      <c r="Z72" s="30"/>
      <c r="AA72" s="30"/>
      <c r="AB72" s="30"/>
      <c r="AF72" s="215"/>
      <c r="AG72" s="212"/>
      <c r="AH72" s="212"/>
      <c r="AI72" s="212"/>
      <c r="AJ72" s="212"/>
      <c r="AK72" s="212"/>
    </row>
    <row r="73" spans="1:54" ht="12.75" customHeight="1" x14ac:dyDescent="0.2">
      <c r="Q73" s="166"/>
      <c r="R73" s="2"/>
      <c r="U73" s="210"/>
      <c r="AF73" s="212"/>
      <c r="AG73" s="212"/>
      <c r="AJ73" s="212"/>
      <c r="AK73" s="212"/>
    </row>
    <row r="74" spans="1:54" x14ac:dyDescent="0.2">
      <c r="Q74" s="166"/>
      <c r="R74" s="2"/>
      <c r="T74" s="1"/>
      <c r="U74" s="216"/>
      <c r="V74" s="216"/>
      <c r="AB74" s="1"/>
      <c r="AC74" s="216"/>
      <c r="AD74" s="216"/>
      <c r="AF74" s="212"/>
      <c r="AG74" s="212"/>
      <c r="AJ74" s="212"/>
      <c r="AK74" s="212"/>
      <c r="AN74" s="212"/>
    </row>
    <row r="75" spans="1:54" ht="12.75" customHeight="1" x14ac:dyDescent="0.2">
      <c r="Q75" s="166"/>
      <c r="R75" s="2"/>
      <c r="U75" s="210"/>
      <c r="AF75" s="212"/>
      <c r="AG75" s="212"/>
      <c r="AH75" s="217"/>
      <c r="AJ75" s="212"/>
      <c r="AK75" s="212"/>
    </row>
    <row r="76" spans="1:54" x14ac:dyDescent="0.2">
      <c r="H76" s="30" t="s">
        <v>151</v>
      </c>
      <c r="I76" s="220" t="str">
        <f>VLOOKUP(D5,RMAData!A3:D117,2)</f>
        <v>Central and North MO</v>
      </c>
      <c r="Q76" s="166"/>
      <c r="R76" s="2"/>
      <c r="U76" s="210"/>
      <c r="X76" s="218"/>
      <c r="AF76" s="212"/>
      <c r="AG76" s="212"/>
      <c r="AH76" s="219"/>
      <c r="AI76" s="212"/>
      <c r="AJ76" s="212"/>
      <c r="AK76" s="212"/>
    </row>
    <row r="77" spans="1:54" ht="14.25" x14ac:dyDescent="0.2">
      <c r="C77" s="1"/>
      <c r="D77" s="16"/>
      <c r="E77" s="16"/>
      <c r="J77" s="30"/>
      <c r="K77" s="30"/>
      <c r="L77" s="30"/>
      <c r="M77" s="30"/>
      <c r="N77" s="30"/>
      <c r="O77" s="30"/>
      <c r="Q77" s="166"/>
      <c r="R77" s="2"/>
      <c r="U77" s="220"/>
      <c r="AG77" s="155"/>
      <c r="AH77" s="212"/>
      <c r="AI77" s="221"/>
      <c r="AJ77" s="155"/>
    </row>
    <row r="78" spans="1:54" s="4" customFormat="1" ht="14.25" x14ac:dyDescent="0.2">
      <c r="A78" s="176"/>
      <c r="B78" s="1"/>
      <c r="D78" s="16"/>
      <c r="E78" s="16"/>
      <c r="F78"/>
      <c r="G78"/>
      <c r="H78" s="42"/>
      <c r="I78"/>
      <c r="J78" s="189"/>
      <c r="K78" s="189"/>
      <c r="L78" s="189"/>
      <c r="M78" s="189"/>
      <c r="N78" s="189"/>
      <c r="O78"/>
      <c r="P78"/>
      <c r="Q78" s="166"/>
      <c r="R78" s="2"/>
      <c r="S78"/>
      <c r="T78"/>
      <c r="U78"/>
      <c r="V78"/>
      <c r="W78"/>
      <c r="X78"/>
      <c r="Y78"/>
      <c r="Z78"/>
      <c r="AB78"/>
      <c r="AC78"/>
      <c r="AD78"/>
      <c r="AE78"/>
      <c r="AF78"/>
      <c r="AG78"/>
      <c r="AH78"/>
      <c r="AM78"/>
      <c r="AN78"/>
      <c r="AO78"/>
      <c r="AP78"/>
      <c r="AQ78"/>
    </row>
    <row r="79" spans="1:54" s="4" customFormat="1" ht="12.75" customHeight="1" x14ac:dyDescent="0.2">
      <c r="A79" s="222"/>
      <c r="D79" s="16"/>
      <c r="E79" s="16"/>
      <c r="F79" s="1"/>
      <c r="G79"/>
      <c r="H79" s="296" t="s">
        <v>219</v>
      </c>
      <c r="I79"/>
      <c r="J79" s="30" t="s">
        <v>194</v>
      </c>
      <c r="K79" s="189"/>
      <c r="L79" s="189"/>
      <c r="M79" s="189"/>
      <c r="N79" s="189"/>
      <c r="O79"/>
      <c r="P79"/>
      <c r="Q79" s="166"/>
      <c r="R79" s="2"/>
      <c r="S79"/>
      <c r="T79"/>
      <c r="U79"/>
      <c r="V79"/>
      <c r="W79"/>
      <c r="X79"/>
      <c r="Y79"/>
      <c r="Z79"/>
      <c r="AB79"/>
      <c r="AC79"/>
      <c r="AD79"/>
      <c r="AE79"/>
      <c r="AF79"/>
      <c r="AG79"/>
      <c r="AH79" s="1" t="s">
        <v>153</v>
      </c>
      <c r="AK79" s="1" t="s">
        <v>154</v>
      </c>
      <c r="AM79"/>
      <c r="AN79"/>
      <c r="AO79"/>
      <c r="AP79"/>
      <c r="AQ79"/>
      <c r="AT79" s="1"/>
      <c r="AU79" s="1"/>
      <c r="AV79" s="1"/>
      <c r="AW79" s="1"/>
      <c r="AX79" s="1"/>
      <c r="AY79" s="1"/>
      <c r="AZ79" s="1"/>
      <c r="BA79" s="1"/>
      <c r="BB79" s="1"/>
    </row>
    <row r="80" spans="1:54" s="4" customFormat="1" ht="14.25" x14ac:dyDescent="0.2">
      <c r="A80" s="222"/>
      <c r="D80" s="16"/>
      <c r="E80" s="16"/>
      <c r="F80"/>
      <c r="G80"/>
      <c r="H80" s="223" t="s">
        <v>26</v>
      </c>
      <c r="I80"/>
      <c r="J80" s="189"/>
      <c r="K80" s="189"/>
      <c r="L80" s="200">
        <f ca="1">MAX(0,(L26-L15)*L11)</f>
        <v>0</v>
      </c>
      <c r="M80" s="189"/>
      <c r="N80" s="189">
        <f ca="1">MAX((N26-N15)*N11,0)</f>
        <v>0</v>
      </c>
      <c r="O80"/>
      <c r="P80"/>
      <c r="Q80" s="39"/>
      <c r="R80" s="2"/>
      <c r="S80"/>
      <c r="T80" s="6"/>
      <c r="U80" s="155"/>
      <c r="V80" s="155"/>
      <c r="W80"/>
      <c r="X80"/>
      <c r="Y80"/>
      <c r="Z80"/>
      <c r="AB80" s="220"/>
      <c r="AC80" s="155"/>
      <c r="AD80" s="155"/>
      <c r="AE80"/>
      <c r="AF80"/>
      <c r="AG80"/>
      <c r="AH80" s="171">
        <v>1</v>
      </c>
      <c r="AK80" s="224">
        <v>0.85</v>
      </c>
      <c r="AM80"/>
      <c r="AN80"/>
      <c r="AO80"/>
      <c r="AP80"/>
      <c r="AQ80"/>
      <c r="AT80" s="189"/>
      <c r="AU80" s="220"/>
      <c r="AV80" s="189"/>
      <c r="AW80" s="220"/>
      <c r="AX80" s="189"/>
      <c r="AY80"/>
      <c r="AZ80"/>
      <c r="BA80"/>
      <c r="BB80"/>
    </row>
    <row r="81" spans="1:54" s="4" customFormat="1" ht="14.25" x14ac:dyDescent="0.2">
      <c r="A81" s="222"/>
      <c r="D81" s="16"/>
      <c r="E81" s="16"/>
      <c r="F81"/>
      <c r="G81"/>
      <c r="H81" s="223" t="s">
        <v>150</v>
      </c>
      <c r="I81"/>
      <c r="J81" s="189"/>
      <c r="K81" s="189"/>
      <c r="L81" s="189">
        <f ca="1">MAX(0,(L26*MAX(IndemPc,MIN(IndemPc*2,$F$10))-L15*$F$10))</f>
        <v>0</v>
      </c>
      <c r="M81" s="189"/>
      <c r="N81" s="189">
        <f ca="1">MAX((N26*MAX(IndemPs,MIN(IndemPs*2,$H$10))-N15*$H$10),0)</f>
        <v>0</v>
      </c>
      <c r="O81"/>
      <c r="P81"/>
      <c r="Q81" s="39"/>
      <c r="R81" s="2"/>
      <c r="S81"/>
      <c r="T81" s="6"/>
      <c r="U81" s="155"/>
      <c r="V81" s="155"/>
      <c r="W81"/>
      <c r="X81"/>
      <c r="Y81"/>
      <c r="Z81"/>
      <c r="AB81" s="220"/>
      <c r="AC81" s="155"/>
      <c r="AD81" s="155"/>
      <c r="AE81"/>
      <c r="AF81"/>
      <c r="AG81"/>
      <c r="AH81" s="171">
        <v>0.99</v>
      </c>
      <c r="AK81" s="224">
        <v>0.8</v>
      </c>
      <c r="AM81"/>
      <c r="AN81"/>
      <c r="AO81"/>
      <c r="AP81"/>
      <c r="AQ81"/>
      <c r="AT81" s="189"/>
      <c r="AU81" s="220"/>
      <c r="AV81"/>
      <c r="AW81" s="220"/>
      <c r="AX81"/>
      <c r="AY81"/>
      <c r="AZ81"/>
      <c r="BA81"/>
      <c r="BB81"/>
    </row>
    <row r="82" spans="1:54" s="4" customFormat="1" ht="14.25" x14ac:dyDescent="0.2">
      <c r="A82" s="222"/>
      <c r="D82" s="16"/>
      <c r="E82" s="16"/>
      <c r="F82"/>
      <c r="G82"/>
      <c r="H82" s="223" t="s">
        <v>229</v>
      </c>
      <c r="I82"/>
      <c r="J82" s="200"/>
      <c r="K82" s="200"/>
      <c r="L82" s="200"/>
      <c r="M82" s="200"/>
      <c r="N82" s="200"/>
      <c r="O82"/>
      <c r="P82"/>
      <c r="Q82" s="39"/>
      <c r="R82" s="2"/>
      <c r="S82"/>
      <c r="T82" s="6"/>
      <c r="U82" s="155"/>
      <c r="V82" s="155"/>
      <c r="W82"/>
      <c r="X82"/>
      <c r="Y82"/>
      <c r="Z82"/>
      <c r="AB82" s="220"/>
      <c r="AC82" s="155"/>
      <c r="AD82" s="155"/>
      <c r="AE82"/>
      <c r="AF82"/>
      <c r="AG82"/>
      <c r="AH82" s="171">
        <v>0.98</v>
      </c>
      <c r="AK82" s="224">
        <v>0.75</v>
      </c>
      <c r="AM82"/>
      <c r="AN82"/>
      <c r="AO82"/>
      <c r="AP82"/>
      <c r="AQ82"/>
      <c r="AT82" s="189"/>
      <c r="AU82" s="220"/>
      <c r="AV82"/>
      <c r="AW82" s="220"/>
      <c r="AX82"/>
      <c r="AY82"/>
      <c r="AZ82"/>
      <c r="BA82"/>
      <c r="BB82"/>
    </row>
    <row r="83" spans="1:54" s="4" customFormat="1" x14ac:dyDescent="0.2">
      <c r="A83" s="222"/>
      <c r="C83"/>
      <c r="D83"/>
      <c r="E83"/>
      <c r="F83"/>
      <c r="G83"/>
      <c r="H83"/>
      <c r="I83"/>
      <c r="J83"/>
      <c r="K83"/>
      <c r="L83"/>
      <c r="M83"/>
      <c r="N83"/>
      <c r="O83"/>
      <c r="P83"/>
      <c r="Q83" s="166"/>
      <c r="R83" s="2"/>
      <c r="S83"/>
      <c r="T83" s="6"/>
      <c r="U83" s="155"/>
      <c r="V83" s="155"/>
      <c r="W83"/>
      <c r="X83"/>
      <c r="Y83"/>
      <c r="Z83"/>
      <c r="AB83" s="220"/>
      <c r="AC83" s="155"/>
      <c r="AD83" s="155"/>
      <c r="AE83"/>
      <c r="AF83"/>
      <c r="AG83"/>
      <c r="AH83" s="171">
        <v>0.97</v>
      </c>
      <c r="AK83" s="224">
        <v>0.7</v>
      </c>
      <c r="AM83"/>
      <c r="AN83"/>
      <c r="AO83"/>
      <c r="AP83"/>
      <c r="AQ83"/>
      <c r="AT83" s="189"/>
      <c r="AU83" s="220"/>
      <c r="AV83"/>
      <c r="AW83" s="220"/>
      <c r="AX83"/>
      <c r="AY83"/>
      <c r="AZ83"/>
      <c r="BA83"/>
      <c r="BB83"/>
    </row>
    <row r="84" spans="1:54" s="4" customFormat="1" x14ac:dyDescent="0.2">
      <c r="A84" s="222"/>
      <c r="C84"/>
      <c r="D84"/>
      <c r="E84"/>
      <c r="F84"/>
      <c r="H84" s="225"/>
      <c r="Q84" s="166"/>
      <c r="R84" s="2"/>
      <c r="S84"/>
      <c r="T84" s="6"/>
      <c r="U84" s="155"/>
      <c r="V84" s="155"/>
      <c r="W84"/>
      <c r="X84"/>
      <c r="Y84"/>
      <c r="Z84"/>
      <c r="AB84" s="220"/>
      <c r="AC84" s="155"/>
      <c r="AD84" s="155"/>
      <c r="AE84"/>
      <c r="AF84"/>
      <c r="AG84"/>
      <c r="AH84" s="171">
        <v>0.96</v>
      </c>
      <c r="AK84" s="224">
        <v>0.65</v>
      </c>
      <c r="AM84"/>
      <c r="AN84"/>
      <c r="AO84"/>
      <c r="AP84"/>
      <c r="AQ84"/>
      <c r="AT84" s="189"/>
      <c r="AU84" s="220"/>
      <c r="AV84"/>
      <c r="AW84" s="220"/>
      <c r="AX84"/>
      <c r="AY84"/>
      <c r="AZ84"/>
      <c r="BA84"/>
      <c r="BB84"/>
    </row>
    <row r="85" spans="1:54" s="4" customFormat="1" x14ac:dyDescent="0.2">
      <c r="A85" s="222"/>
      <c r="C85"/>
      <c r="D85"/>
      <c r="E85"/>
      <c r="F85"/>
      <c r="G85" s="14"/>
      <c r="H85" s="30"/>
      <c r="I85" s="1"/>
      <c r="J85" s="1"/>
      <c r="K85" s="1"/>
      <c r="L85" s="1"/>
      <c r="M85" s="1"/>
      <c r="N85" s="1"/>
      <c r="O85" s="1"/>
      <c r="P85" s="1"/>
      <c r="Q85" s="166"/>
      <c r="R85" s="2"/>
      <c r="S85"/>
      <c r="T85" s="6"/>
      <c r="U85" s="155"/>
      <c r="V85" s="155"/>
      <c r="W85"/>
      <c r="X85"/>
      <c r="Y85"/>
      <c r="Z85"/>
      <c r="AB85" s="220"/>
      <c r="AC85" s="155"/>
      <c r="AD85" s="155"/>
      <c r="AE85"/>
      <c r="AF85"/>
      <c r="AG85"/>
      <c r="AH85" s="171">
        <v>0.95</v>
      </c>
      <c r="AK85" s="224">
        <v>0.6</v>
      </c>
      <c r="AM85"/>
      <c r="AN85"/>
      <c r="AO85"/>
      <c r="AP85"/>
      <c r="AQ85"/>
      <c r="AT85" s="189"/>
      <c r="AU85" s="220"/>
      <c r="AV85"/>
      <c r="AW85" s="220"/>
      <c r="AX85"/>
      <c r="AY85"/>
      <c r="AZ85"/>
      <c r="BA85"/>
      <c r="BB85"/>
    </row>
    <row r="86" spans="1:54" s="4" customFormat="1" x14ac:dyDescent="0.2">
      <c r="A86" s="222"/>
      <c r="C86" s="226"/>
      <c r="D86" s="227"/>
      <c r="E86" s="227"/>
      <c r="F86" s="226"/>
      <c r="G86" s="226"/>
      <c r="H86" s="42"/>
      <c r="J86" s="280"/>
      <c r="K86" s="5"/>
      <c r="L86" s="46"/>
      <c r="M86" s="46"/>
      <c r="N86" s="5"/>
      <c r="O86" s="5"/>
      <c r="Q86" s="166"/>
      <c r="R86" s="2"/>
      <c r="S86"/>
      <c r="T86" s="6"/>
      <c r="U86" s="155"/>
      <c r="V86" s="155"/>
      <c r="W86"/>
      <c r="X86"/>
      <c r="Y86"/>
      <c r="Z86"/>
      <c r="AB86" s="220"/>
      <c r="AC86" s="155"/>
      <c r="AD86" s="155"/>
      <c r="AE86"/>
      <c r="AF86"/>
      <c r="AG86"/>
      <c r="AH86" s="171">
        <v>0.94</v>
      </c>
      <c r="AK86" s="224">
        <v>0.55000000000000004</v>
      </c>
      <c r="AM86"/>
      <c r="AN86"/>
      <c r="AO86"/>
      <c r="AP86"/>
      <c r="AQ86"/>
      <c r="AT86" s="189"/>
      <c r="AU86" s="220"/>
      <c r="AW86" s="220"/>
      <c r="AY86"/>
      <c r="AZ86"/>
      <c r="BA86"/>
      <c r="BB86"/>
    </row>
    <row r="87" spans="1:54" s="4" customFormat="1" x14ac:dyDescent="0.2">
      <c r="A87" s="222"/>
      <c r="C87" s="226"/>
      <c r="D87" s="227"/>
      <c r="E87" s="227"/>
      <c r="F87" s="226"/>
      <c r="G87" s="226"/>
      <c r="K87" s="5"/>
      <c r="L87" s="46"/>
      <c r="M87" s="46"/>
      <c r="N87" s="5"/>
      <c r="O87" s="5"/>
      <c r="Q87" s="166"/>
      <c r="R87" s="2"/>
      <c r="S87"/>
      <c r="T87" s="6"/>
      <c r="U87" s="155"/>
      <c r="V87" s="155"/>
      <c r="W87"/>
      <c r="X87"/>
      <c r="Y87"/>
      <c r="Z87"/>
      <c r="AB87" s="220"/>
      <c r="AC87" s="155"/>
      <c r="AD87" s="155"/>
      <c r="AE87"/>
      <c r="AF87"/>
      <c r="AG87"/>
      <c r="AH87" s="171">
        <v>0.93</v>
      </c>
      <c r="AK87" s="224">
        <v>0.5</v>
      </c>
      <c r="AN87" s="228"/>
      <c r="AO87" s="229"/>
      <c r="AP87" s="230"/>
      <c r="AQ87" s="1"/>
      <c r="AT87" s="189"/>
      <c r="AU87" s="220"/>
      <c r="AW87" s="220"/>
      <c r="AY87"/>
      <c r="AZ87"/>
      <c r="BA87"/>
      <c r="BB87"/>
    </row>
    <row r="88" spans="1:54" s="4" customFormat="1" x14ac:dyDescent="0.2">
      <c r="A88" s="222"/>
      <c r="D88" s="227"/>
      <c r="E88" s="227"/>
      <c r="F88" s="226"/>
      <c r="G88" s="226"/>
      <c r="H88" s="226" t="s">
        <v>230</v>
      </c>
      <c r="J88" s="5"/>
      <c r="K88" s="5"/>
      <c r="L88" s="46"/>
      <c r="M88" s="46"/>
      <c r="N88" s="5"/>
      <c r="O88" s="5"/>
      <c r="Q88" s="166"/>
      <c r="R88" s="2"/>
      <c r="S88"/>
      <c r="T88" s="6"/>
      <c r="U88" s="155"/>
      <c r="V88" s="155"/>
      <c r="W88"/>
      <c r="X88"/>
      <c r="Y88"/>
      <c r="Z88"/>
      <c r="AB88" s="220"/>
      <c r="AC88" s="155"/>
      <c r="AD88" s="155"/>
      <c r="AE88"/>
      <c r="AF88"/>
      <c r="AG88"/>
      <c r="AH88" s="171">
        <v>0.92</v>
      </c>
      <c r="AK88" s="224"/>
      <c r="AN88" s="228"/>
      <c r="AO88" s="229"/>
      <c r="AP88" s="230"/>
      <c r="AQ88" s="1"/>
      <c r="AT88" s="189"/>
      <c r="AU88" s="220"/>
      <c r="AW88" s="220"/>
      <c r="AY88"/>
      <c r="AZ88"/>
      <c r="BA88"/>
      <c r="BB88"/>
    </row>
    <row r="89" spans="1:54" s="4" customFormat="1" ht="14.25" x14ac:dyDescent="0.2">
      <c r="A89" s="222"/>
      <c r="D89" s="16"/>
      <c r="E89" s="16"/>
      <c r="F89"/>
      <c r="G89"/>
      <c r="H89" s="1" t="s">
        <v>0</v>
      </c>
      <c r="I89"/>
      <c r="J89">
        <v>8</v>
      </c>
      <c r="K89"/>
      <c r="L89"/>
      <c r="M89"/>
      <c r="N89"/>
      <c r="O89"/>
      <c r="Q89" s="166"/>
      <c r="R89" s="2"/>
      <c r="S89"/>
      <c r="T89" s="6"/>
      <c r="U89" s="155"/>
      <c r="V89" s="155"/>
      <c r="W89"/>
      <c r="X89"/>
      <c r="Y89"/>
      <c r="Z89"/>
      <c r="AB89" s="220"/>
      <c r="AC89" s="155"/>
      <c r="AD89" s="155"/>
      <c r="AE89"/>
      <c r="AF89"/>
      <c r="AG89"/>
      <c r="AH89" s="171">
        <v>0.91</v>
      </c>
      <c r="AK89" s="224"/>
      <c r="AN89" s="1"/>
      <c r="AO89"/>
      <c r="AP89"/>
      <c r="AQ89" s="1"/>
      <c r="AT89" s="189"/>
      <c r="AU89" s="220"/>
      <c r="AW89" s="220"/>
      <c r="AY89"/>
      <c r="AZ89"/>
      <c r="BA89"/>
      <c r="BB89"/>
    </row>
    <row r="90" spans="1:54" s="4" customFormat="1" ht="14.25" x14ac:dyDescent="0.2">
      <c r="A90" s="222"/>
      <c r="D90" s="16"/>
      <c r="E90" s="16"/>
      <c r="F90"/>
      <c r="G90"/>
      <c r="H90" s="1" t="s">
        <v>192</v>
      </c>
      <c r="I90"/>
      <c r="J90">
        <v>3</v>
      </c>
      <c r="K90"/>
      <c r="L90"/>
      <c r="M90"/>
      <c r="N90"/>
      <c r="O90"/>
      <c r="Q90" s="166"/>
      <c r="R90" s="2"/>
      <c r="S90"/>
      <c r="T90" s="6"/>
      <c r="U90" s="155"/>
      <c r="V90" s="155"/>
      <c r="W90"/>
      <c r="X90"/>
      <c r="Y90"/>
      <c r="Z90"/>
      <c r="AB90" s="220"/>
      <c r="AC90" s="155"/>
      <c r="AD90" s="155"/>
      <c r="AE90"/>
      <c r="AF90"/>
      <c r="AG90"/>
      <c r="AH90" s="171">
        <v>0.9</v>
      </c>
      <c r="AT90" s="189"/>
      <c r="AU90" s="220"/>
      <c r="AW90" s="220"/>
      <c r="AY90"/>
      <c r="AZ90"/>
      <c r="BA90"/>
      <c r="BB90"/>
    </row>
    <row r="91" spans="1:54" s="4" customFormat="1" x14ac:dyDescent="0.2">
      <c r="A91" s="222"/>
      <c r="I91"/>
      <c r="J91" s="26"/>
      <c r="K91" s="26"/>
      <c r="L91" s="120"/>
      <c r="M91" s="120"/>
      <c r="N91" s="120"/>
      <c r="O91"/>
      <c r="Q91" s="166"/>
      <c r="R91" s="2"/>
      <c r="S91"/>
      <c r="T91" s="6"/>
      <c r="U91" s="155"/>
      <c r="V91" s="155"/>
      <c r="W91"/>
      <c r="X91"/>
      <c r="Y91"/>
      <c r="Z91"/>
      <c r="AB91" s="220"/>
      <c r="AC91" s="155"/>
      <c r="AD91" s="155"/>
      <c r="AE91"/>
      <c r="AF91"/>
      <c r="AG91"/>
      <c r="AH91" s="171">
        <v>0.89</v>
      </c>
      <c r="AT91" s="189"/>
      <c r="AU91" s="220"/>
      <c r="AW91" s="220"/>
      <c r="AY91"/>
      <c r="AZ91"/>
      <c r="BA91"/>
      <c r="BB91"/>
    </row>
    <row r="92" spans="1:54" s="4" customFormat="1" x14ac:dyDescent="0.2">
      <c r="A92" s="222"/>
      <c r="H92" s="1" t="s">
        <v>216</v>
      </c>
      <c r="I92"/>
      <c r="J92"/>
      <c r="K92"/>
      <c r="L92"/>
      <c r="M92"/>
      <c r="N92"/>
      <c r="O92"/>
      <c r="Q92" s="166"/>
      <c r="R92" s="2"/>
      <c r="S92"/>
      <c r="T92" s="6"/>
      <c r="U92" s="155"/>
      <c r="V92" s="155"/>
      <c r="W92"/>
      <c r="X92"/>
      <c r="Y92"/>
      <c r="Z92"/>
      <c r="AB92" s="220"/>
      <c r="AC92" s="155"/>
      <c r="AD92" s="155"/>
      <c r="AE92"/>
      <c r="AF92"/>
      <c r="AG92"/>
      <c r="AH92" s="171">
        <v>0.88</v>
      </c>
      <c r="AK92" s="246" t="s">
        <v>176</v>
      </c>
      <c r="AT92" s="189"/>
      <c r="AU92" s="220"/>
      <c r="AW92" s="220"/>
      <c r="AY92"/>
      <c r="AZ92"/>
      <c r="BA92"/>
      <c r="BB92"/>
    </row>
    <row r="93" spans="1:54" s="4" customFormat="1" x14ac:dyDescent="0.2">
      <c r="A93" s="222"/>
      <c r="H93" s="1" t="s">
        <v>217</v>
      </c>
      <c r="J93" s="281">
        <v>0.9</v>
      </c>
      <c r="K93" s="5"/>
      <c r="L93" s="46"/>
      <c r="M93" s="46"/>
      <c r="N93" s="5"/>
      <c r="O93" s="5"/>
      <c r="Q93" s="166"/>
      <c r="R93" s="2"/>
      <c r="S93"/>
      <c r="T93" s="6"/>
      <c r="U93" s="155"/>
      <c r="V93" s="155"/>
      <c r="W93"/>
      <c r="X93"/>
      <c r="Y93"/>
      <c r="Z93"/>
      <c r="AB93" s="220"/>
      <c r="AC93" s="155"/>
      <c r="AD93" s="155"/>
      <c r="AE93"/>
      <c r="AF93"/>
      <c r="AG93"/>
      <c r="AH93" s="171">
        <v>0.87</v>
      </c>
      <c r="AK93" s="246" t="s">
        <v>0</v>
      </c>
      <c r="AR93" s="1"/>
      <c r="AT93" s="189"/>
      <c r="AU93" s="220"/>
      <c r="AW93" s="220"/>
      <c r="AY93"/>
      <c r="AZ93"/>
      <c r="BA93"/>
      <c r="BB93"/>
    </row>
    <row r="94" spans="1:54" s="4" customFormat="1" x14ac:dyDescent="0.2">
      <c r="A94" s="222"/>
      <c r="J94" s="5"/>
      <c r="K94" s="5"/>
      <c r="L94" s="46"/>
      <c r="M94" s="46"/>
      <c r="N94" s="5"/>
      <c r="O94" s="5"/>
      <c r="Q94" s="166"/>
      <c r="R94" s="2"/>
      <c r="S94"/>
      <c r="T94" s="6"/>
      <c r="U94" s="155"/>
      <c r="V94" s="155"/>
      <c r="W94"/>
      <c r="X94"/>
      <c r="Y94"/>
      <c r="Z94"/>
      <c r="AB94" s="220"/>
      <c r="AC94" s="155"/>
      <c r="AD94" s="155"/>
      <c r="AE94"/>
      <c r="AF94"/>
      <c r="AG94"/>
      <c r="AH94" s="171">
        <v>0.86</v>
      </c>
      <c r="AK94" s="224">
        <v>0.55000000000000004</v>
      </c>
      <c r="AT94" s="189"/>
      <c r="AU94" s="220"/>
      <c r="AW94" s="220"/>
      <c r="AY94"/>
      <c r="AZ94"/>
      <c r="BA94"/>
      <c r="BB94"/>
    </row>
    <row r="95" spans="1:54" s="4" customFormat="1" x14ac:dyDescent="0.2">
      <c r="A95" s="222"/>
      <c r="J95" s="5"/>
      <c r="K95" s="5"/>
      <c r="L95" s="46"/>
      <c r="M95" s="46"/>
      <c r="N95" s="5"/>
      <c r="O95" s="5"/>
      <c r="Q95" s="166"/>
      <c r="R95" s="2"/>
      <c r="S95"/>
      <c r="T95" s="6"/>
      <c r="U95" s="155"/>
      <c r="V95" s="155"/>
      <c r="W95"/>
      <c r="X95"/>
      <c r="Y95"/>
      <c r="Z95"/>
      <c r="AB95" s="220"/>
      <c r="AC95" s="155"/>
      <c r="AD95" s="155"/>
      <c r="AE95"/>
      <c r="AF95"/>
      <c r="AG95"/>
      <c r="AH95" s="171">
        <v>0.85</v>
      </c>
      <c r="AK95" s="224">
        <v>0.6</v>
      </c>
      <c r="AN95" s="228"/>
      <c r="AO95" s="229"/>
      <c r="AP95" s="230"/>
      <c r="AQ95" s="1"/>
      <c r="AT95" s="189"/>
      <c r="AU95" s="220"/>
      <c r="AW95" s="220"/>
      <c r="AY95"/>
      <c r="AZ95"/>
      <c r="BA95"/>
      <c r="BB95"/>
    </row>
    <row r="96" spans="1:54" s="4" customFormat="1" x14ac:dyDescent="0.2">
      <c r="A96" s="222"/>
      <c r="H96" s="1" t="s">
        <v>225</v>
      </c>
      <c r="J96" s="280"/>
      <c r="K96" s="5"/>
      <c r="L96" s="46"/>
      <c r="M96" s="46"/>
      <c r="N96" s="5"/>
      <c r="O96" s="5"/>
      <c r="Q96" s="166"/>
      <c r="R96" s="2"/>
      <c r="S96"/>
      <c r="T96" s="6"/>
      <c r="U96" s="155"/>
      <c r="V96" s="155"/>
      <c r="W96"/>
      <c r="X96"/>
      <c r="Y96"/>
      <c r="Z96"/>
      <c r="AB96" s="220"/>
      <c r="AC96" s="155"/>
      <c r="AD96" s="155"/>
      <c r="AE96"/>
      <c r="AF96"/>
      <c r="AG96"/>
      <c r="AH96" s="171">
        <v>0.84</v>
      </c>
      <c r="AK96" s="246" t="s">
        <v>192</v>
      </c>
      <c r="AN96" s="228"/>
      <c r="AO96" s="229"/>
      <c r="AP96" s="230"/>
      <c r="AQ96" s="1"/>
      <c r="AT96" s="189"/>
      <c r="AU96" s="220"/>
      <c r="AW96" s="220"/>
      <c r="AY96"/>
      <c r="AZ96"/>
      <c r="BA96"/>
      <c r="BB96"/>
    </row>
    <row r="97" spans="1:54" s="4" customFormat="1" x14ac:dyDescent="0.2">
      <c r="A97" s="222"/>
      <c r="H97" s="1" t="s">
        <v>226</v>
      </c>
      <c r="J97" s="281">
        <v>0.65</v>
      </c>
      <c r="K97" s="5"/>
      <c r="L97" s="46"/>
      <c r="M97" s="46"/>
      <c r="N97" s="5"/>
      <c r="O97" s="5"/>
      <c r="Q97" s="166"/>
      <c r="R97" s="30"/>
      <c r="S97"/>
      <c r="T97"/>
      <c r="U97" s="1"/>
      <c r="V97"/>
      <c r="W97"/>
      <c r="X97"/>
      <c r="Y97"/>
      <c r="Z97"/>
      <c r="AB97" s="220"/>
      <c r="AC97" s="155"/>
      <c r="AD97" s="155"/>
      <c r="AE97"/>
      <c r="AF97"/>
      <c r="AG97"/>
      <c r="AH97" s="171">
        <v>0.83</v>
      </c>
      <c r="AK97" s="224">
        <v>0.6</v>
      </c>
      <c r="AN97" s="228"/>
      <c r="AO97" s="229"/>
      <c r="AP97" s="230"/>
      <c r="AQ97" s="1"/>
      <c r="AT97" s="189"/>
      <c r="AU97" s="220"/>
      <c r="AW97" s="220"/>
      <c r="AY97"/>
      <c r="AZ97"/>
      <c r="BA97"/>
      <c r="BB97"/>
    </row>
    <row r="98" spans="1:54" s="4" customFormat="1" x14ac:dyDescent="0.2">
      <c r="A98" s="222"/>
      <c r="J98" s="17"/>
      <c r="K98" s="17"/>
      <c r="L98" s="17"/>
      <c r="M98" s="17"/>
      <c r="N98" s="17"/>
      <c r="Q98" s="166"/>
      <c r="R98"/>
      <c r="S98" s="30"/>
      <c r="T98" s="30"/>
      <c r="U98" s="1"/>
      <c r="V98"/>
      <c r="W98"/>
      <c r="X98"/>
      <c r="Y98"/>
      <c r="Z98"/>
      <c r="AB98" s="220"/>
      <c r="AC98" s="155"/>
      <c r="AD98" s="155"/>
      <c r="AE98"/>
      <c r="AF98"/>
      <c r="AG98"/>
      <c r="AH98" s="171">
        <v>0.82</v>
      </c>
      <c r="AK98" s="224">
        <v>0.65</v>
      </c>
      <c r="AQ98"/>
      <c r="AT98" s="189"/>
      <c r="AU98" s="220"/>
      <c r="AW98" s="220"/>
      <c r="AY98"/>
      <c r="AZ98"/>
      <c r="BA98"/>
      <c r="BB98"/>
    </row>
    <row r="99" spans="1:54" s="4" customFormat="1" x14ac:dyDescent="0.2">
      <c r="A99" s="222"/>
      <c r="H99" s="1" t="s">
        <v>232</v>
      </c>
      <c r="J99" s="17"/>
      <c r="K99" s="17"/>
      <c r="L99" s="17"/>
      <c r="M99" s="17"/>
      <c r="N99" s="17"/>
      <c r="Q99" s="166"/>
      <c r="R99" s="1"/>
      <c r="U99" s="1"/>
      <c r="V99"/>
      <c r="W99"/>
      <c r="X99"/>
      <c r="Y99"/>
      <c r="Z99"/>
      <c r="AB99" s="220"/>
      <c r="AC99" s="155"/>
      <c r="AD99" s="155"/>
      <c r="AE99"/>
      <c r="AF99"/>
      <c r="AG99"/>
      <c r="AH99" s="171">
        <v>0.81</v>
      </c>
      <c r="AN99"/>
      <c r="AO99"/>
      <c r="AP99"/>
      <c r="AQ99"/>
      <c r="AT99" s="189"/>
      <c r="AU99" s="220"/>
      <c r="AW99" s="220"/>
      <c r="AY99"/>
      <c r="AZ99"/>
      <c r="BA99"/>
      <c r="BB99"/>
    </row>
    <row r="100" spans="1:54" s="4" customFormat="1" x14ac:dyDescent="0.2">
      <c r="A100" s="222"/>
      <c r="H100" s="1" t="s">
        <v>233</v>
      </c>
      <c r="J100" s="323">
        <v>20</v>
      </c>
      <c r="L100" s="17"/>
      <c r="M100" s="17"/>
      <c r="N100" s="17"/>
      <c r="Q100" s="166"/>
      <c r="R100" s="228"/>
      <c r="V100"/>
      <c r="W100"/>
      <c r="X100"/>
      <c r="Y100"/>
      <c r="Z100"/>
      <c r="AB100" s="220"/>
      <c r="AC100" s="155"/>
      <c r="AD100" s="155"/>
      <c r="AE100"/>
      <c r="AF100"/>
      <c r="AG100"/>
      <c r="AH100" s="171">
        <v>0.8</v>
      </c>
      <c r="AN100" s="30"/>
      <c r="AO100" s="1"/>
      <c r="AP100"/>
      <c r="AQ100"/>
      <c r="AT100" s="189"/>
      <c r="AU100" s="220"/>
      <c r="AW100" s="220"/>
      <c r="AY100"/>
      <c r="AZ100"/>
      <c r="BA100"/>
      <c r="BB100"/>
    </row>
    <row r="101" spans="1:54" s="4" customFormat="1" x14ac:dyDescent="0.2">
      <c r="A101" s="222"/>
      <c r="H101" s="1" t="s">
        <v>234</v>
      </c>
      <c r="J101" s="323">
        <v>25</v>
      </c>
      <c r="L101" s="17"/>
      <c r="M101" s="17"/>
      <c r="N101" s="17"/>
      <c r="Q101" s="166"/>
      <c r="R101" s="1"/>
      <c r="S101" s="231"/>
      <c r="T101" s="231"/>
      <c r="U101" s="1"/>
      <c r="V101"/>
      <c r="W101"/>
      <c r="X101"/>
      <c r="Y101"/>
      <c r="Z101"/>
      <c r="AB101" s="220"/>
      <c r="AC101" s="155"/>
      <c r="AD101" s="155"/>
      <c r="AE101"/>
      <c r="AF101"/>
      <c r="AG101"/>
      <c r="AH101" s="171">
        <v>0.79</v>
      </c>
      <c r="AQ101"/>
      <c r="AT101" s="189"/>
      <c r="AU101" s="220"/>
      <c r="AW101" s="220"/>
      <c r="AY101"/>
      <c r="AZ101"/>
      <c r="BA101"/>
      <c r="BB101"/>
    </row>
    <row r="102" spans="1:54" s="4" customFormat="1" x14ac:dyDescent="0.2">
      <c r="A102" s="222"/>
      <c r="H102" s="1" t="s">
        <v>209</v>
      </c>
      <c r="J102" s="324">
        <v>10</v>
      </c>
      <c r="L102" s="17"/>
      <c r="M102" s="17"/>
      <c r="N102" s="17"/>
      <c r="Q102" s="166"/>
      <c r="R102" s="2"/>
      <c r="S102"/>
      <c r="T102" s="6"/>
      <c r="U102"/>
      <c r="V102"/>
      <c r="W102"/>
      <c r="X102"/>
      <c r="Y102"/>
      <c r="Z102"/>
      <c r="AB102" s="220"/>
      <c r="AC102" s="155"/>
      <c r="AD102" s="155"/>
      <c r="AE102"/>
      <c r="AF102"/>
      <c r="AG102"/>
      <c r="AH102" s="171">
        <v>0.78</v>
      </c>
      <c r="AR102"/>
      <c r="AS102"/>
      <c r="AT102" s="189"/>
      <c r="AU102" s="220"/>
      <c r="AW102" s="220"/>
      <c r="AY102"/>
      <c r="AZ102"/>
      <c r="BA102"/>
      <c r="BB102"/>
    </row>
    <row r="103" spans="1:54" s="4" customFormat="1" ht="14.25" x14ac:dyDescent="0.2">
      <c r="A103" s="222"/>
      <c r="C103" s="6"/>
      <c r="D103" s="6"/>
      <c r="E103" s="6"/>
      <c r="L103" s="17"/>
      <c r="M103" s="17"/>
      <c r="N103" s="17"/>
      <c r="Q103" s="166"/>
      <c r="R103" s="2"/>
      <c r="S103"/>
      <c r="T103" s="6"/>
      <c r="U103"/>
      <c r="V103"/>
      <c r="W103"/>
      <c r="X103"/>
      <c r="Y103"/>
      <c r="Z103"/>
      <c r="AB103" s="220"/>
      <c r="AC103" s="155"/>
      <c r="AD103" s="155"/>
      <c r="AE103"/>
      <c r="AF103"/>
      <c r="AG103"/>
      <c r="AH103" s="171">
        <v>0.77</v>
      </c>
      <c r="AN103" s="1"/>
      <c r="AO103" s="275"/>
      <c r="AP103" s="270"/>
      <c r="AQ103"/>
      <c r="AR103"/>
      <c r="AS103"/>
      <c r="AT103" s="189"/>
      <c r="AU103" s="220"/>
      <c r="AW103" s="220"/>
      <c r="AY103"/>
      <c r="AZ103"/>
      <c r="BA103"/>
      <c r="BB103"/>
    </row>
    <row r="104" spans="1:54" s="4" customFormat="1" x14ac:dyDescent="0.2">
      <c r="A104" s="222"/>
      <c r="C104" s="6"/>
      <c r="D104" s="6"/>
      <c r="E104" s="6"/>
      <c r="L104" s="17"/>
      <c r="M104" s="17"/>
      <c r="N104" s="17"/>
      <c r="Q104" s="166"/>
      <c r="R104" s="2"/>
      <c r="S104"/>
      <c r="T104" s="6"/>
      <c r="U104"/>
      <c r="V104"/>
      <c r="W104"/>
      <c r="X104"/>
      <c r="Y104"/>
      <c r="Z104"/>
      <c r="AB104" s="220"/>
      <c r="AC104" s="155"/>
      <c r="AD104" s="155"/>
      <c r="AE104"/>
      <c r="AF104"/>
      <c r="AG104"/>
      <c r="AH104" s="171">
        <v>0.76</v>
      </c>
      <c r="AR104" s="226"/>
      <c r="AS104" s="226"/>
      <c r="AT104" s="189"/>
      <c r="AU104" s="220"/>
      <c r="AW104" s="220"/>
      <c r="AY104"/>
      <c r="AZ104"/>
      <c r="BA104"/>
      <c r="BB104"/>
    </row>
    <row r="105" spans="1:54" s="4" customFormat="1" x14ac:dyDescent="0.2">
      <c r="A105" s="222"/>
      <c r="C105" s="6"/>
      <c r="D105" s="6"/>
      <c r="E105" s="6"/>
      <c r="F105" s="233"/>
      <c r="G105" s="233"/>
      <c r="H105" s="37"/>
      <c r="J105" s="17"/>
      <c r="K105" s="17"/>
      <c r="L105" s="17"/>
      <c r="M105" s="17"/>
      <c r="N105" s="17"/>
      <c r="Q105" s="166"/>
      <c r="R105" s="2"/>
      <c r="S105"/>
      <c r="T105" s="6"/>
      <c r="U105"/>
      <c r="V105"/>
      <c r="W105"/>
      <c r="X105"/>
      <c r="Y105"/>
      <c r="Z105"/>
      <c r="AB105" s="220"/>
      <c r="AC105" s="155"/>
      <c r="AD105" s="155"/>
      <c r="AE105"/>
      <c r="AF105"/>
      <c r="AG105"/>
      <c r="AH105" s="171">
        <v>0.75</v>
      </c>
      <c r="AN105" s="226"/>
      <c r="AO105" s="234"/>
      <c r="AP105" s="227"/>
      <c r="AQ105" s="226"/>
      <c r="AR105" s="226"/>
      <c r="AS105" s="226"/>
      <c r="AT105" s="189"/>
      <c r="AU105" s="220"/>
      <c r="AW105" s="220"/>
      <c r="AY105"/>
      <c r="AZ105"/>
      <c r="BA105"/>
      <c r="BB105"/>
    </row>
    <row r="106" spans="1:54" s="4" customFormat="1" x14ac:dyDescent="0.2">
      <c r="A106" s="222"/>
      <c r="C106" s="6"/>
      <c r="D106" s="6"/>
      <c r="E106" s="6"/>
      <c r="F106" s="233"/>
      <c r="G106" s="233"/>
      <c r="H106" s="37"/>
      <c r="J106" s="17"/>
      <c r="K106" s="17"/>
      <c r="L106" s="17"/>
      <c r="M106" s="17"/>
      <c r="N106" s="17"/>
      <c r="Q106" s="166"/>
      <c r="R106" s="2"/>
      <c r="S106"/>
      <c r="T106" s="6"/>
      <c r="U106"/>
      <c r="V106"/>
      <c r="W106"/>
      <c r="X106"/>
      <c r="Y106"/>
      <c r="Z106"/>
      <c r="AB106" s="220"/>
      <c r="AC106"/>
      <c r="AD106"/>
      <c r="AE106"/>
      <c r="AF106"/>
      <c r="AG106"/>
      <c r="AH106" s="171">
        <v>0.74</v>
      </c>
      <c r="AN106" s="220"/>
      <c r="AO106" s="165" t="s">
        <v>0</v>
      </c>
      <c r="AP106" s="1" t="s">
        <v>192</v>
      </c>
      <c r="AQ106" s="226"/>
      <c r="AR106" s="226"/>
      <c r="AS106" s="226"/>
      <c r="AT106" s="189"/>
      <c r="AU106" s="220"/>
      <c r="AW106" s="220"/>
      <c r="AY106"/>
      <c r="AZ106"/>
      <c r="BA106"/>
      <c r="BB106"/>
    </row>
    <row r="107" spans="1:54" s="4" customFormat="1" x14ac:dyDescent="0.2">
      <c r="A107" s="222"/>
      <c r="C107" s="6"/>
      <c r="D107" s="6"/>
      <c r="E107" s="6"/>
      <c r="F107" s="233"/>
      <c r="G107" s="233"/>
      <c r="H107" s="37"/>
      <c r="J107" s="17"/>
      <c r="K107" s="17"/>
      <c r="L107" s="17"/>
      <c r="M107" s="17"/>
      <c r="N107" s="17"/>
      <c r="Q107" s="166"/>
      <c r="R107" s="2"/>
      <c r="S107"/>
      <c r="T107" s="6"/>
      <c r="U107"/>
      <c r="V107"/>
      <c r="W107"/>
      <c r="X107"/>
      <c r="Y107"/>
      <c r="Z107"/>
      <c r="AB107" s="220"/>
      <c r="AC107"/>
      <c r="AD107"/>
      <c r="AE107"/>
      <c r="AF107"/>
      <c r="AG107"/>
      <c r="AH107" s="171">
        <v>0.73</v>
      </c>
      <c r="AN107" s="30" t="s">
        <v>198</v>
      </c>
      <c r="AO107" s="232">
        <f ca="1">DATE(YEAR(F14)-RMAData!$L$5,MONTH(F14),DAY(F14))</f>
        <v>41082</v>
      </c>
      <c r="AP107" s="232">
        <f ca="1">DATE(YEAR(H14)-RMAData!$L$5,MONTH(H14),DAY(H14))</f>
        <v>41065</v>
      </c>
      <c r="AQ107" s="226"/>
      <c r="AR107" s="226"/>
      <c r="AS107" s="226"/>
      <c r="AT107" s="189"/>
      <c r="AU107" s="220"/>
      <c r="AW107" s="220"/>
      <c r="AY107"/>
      <c r="AZ107"/>
      <c r="BA107"/>
      <c r="BB107"/>
    </row>
    <row r="108" spans="1:54" s="4" customFormat="1" x14ac:dyDescent="0.2">
      <c r="A108" s="222"/>
      <c r="C108" s="6"/>
      <c r="D108" s="6"/>
      <c r="E108" s="6"/>
      <c r="F108" s="233"/>
      <c r="G108" s="233"/>
      <c r="H108" s="37"/>
      <c r="J108" s="17"/>
      <c r="K108" s="17"/>
      <c r="L108" s="17"/>
      <c r="M108" s="17"/>
      <c r="N108" s="17"/>
      <c r="S108"/>
      <c r="T108" s="6"/>
      <c r="U108"/>
      <c r="V108"/>
      <c r="W108"/>
      <c r="X108"/>
      <c r="Y108"/>
      <c r="Z108"/>
      <c r="AB108" s="220"/>
      <c r="AC108"/>
      <c r="AD108"/>
      <c r="AE108"/>
      <c r="AF108"/>
      <c r="AG108"/>
      <c r="AH108" s="171">
        <v>0.72</v>
      </c>
      <c r="AN108" s="235" t="s">
        <v>200</v>
      </c>
      <c r="AO108" s="227"/>
      <c r="AP108" s="227"/>
      <c r="AQ108" s="226"/>
      <c r="AR108" s="226"/>
      <c r="AS108" s="226"/>
      <c r="AT108" s="189"/>
      <c r="AU108" s="220"/>
      <c r="AW108" s="220"/>
      <c r="AY108"/>
      <c r="AZ108"/>
      <c r="BA108"/>
      <c r="BB108"/>
    </row>
    <row r="109" spans="1:54" s="4" customFormat="1" x14ac:dyDescent="0.2">
      <c r="A109" s="222"/>
      <c r="C109" s="6"/>
      <c r="D109" s="6"/>
      <c r="E109" s="6"/>
      <c r="F109" s="233"/>
      <c r="G109" s="233"/>
      <c r="H109" s="37"/>
      <c r="J109" s="17"/>
      <c r="K109" s="17"/>
      <c r="L109" s="17"/>
      <c r="M109" s="17"/>
      <c r="N109" s="17"/>
      <c r="S109"/>
      <c r="T109" s="6"/>
      <c r="U109"/>
      <c r="V109"/>
      <c r="W109"/>
      <c r="X109"/>
      <c r="Y109"/>
      <c r="Z109"/>
      <c r="AB109" s="220"/>
      <c r="AC109"/>
      <c r="AD109"/>
      <c r="AE109"/>
      <c r="AF109"/>
      <c r="AG109"/>
      <c r="AH109" s="171">
        <v>0.71</v>
      </c>
      <c r="AN109" s="6"/>
      <c r="AO109" s="165" t="s">
        <v>27</v>
      </c>
      <c r="AP109" s="233"/>
      <c r="AQ109" s="128" t="s">
        <v>29</v>
      </c>
      <c r="AS109" s="37"/>
      <c r="AT109" s="189"/>
      <c r="AU109" s="220"/>
      <c r="AW109" s="220"/>
      <c r="AY109"/>
      <c r="AZ109"/>
      <c r="BA109"/>
      <c r="BB109"/>
    </row>
    <row r="110" spans="1:54" s="4" customFormat="1" x14ac:dyDescent="0.2">
      <c r="A110" s="222"/>
      <c r="C110" s="6"/>
      <c r="D110" s="6"/>
      <c r="E110" s="6"/>
      <c r="F110" s="233"/>
      <c r="G110" s="233"/>
      <c r="H110" s="37"/>
      <c r="J110" s="17"/>
      <c r="K110" s="17"/>
      <c r="L110" s="17"/>
      <c r="M110" s="17"/>
      <c r="N110" s="17"/>
      <c r="S110"/>
      <c r="T110" s="6"/>
      <c r="U110"/>
      <c r="V110"/>
      <c r="W110"/>
      <c r="X110"/>
      <c r="Y110"/>
      <c r="Z110"/>
      <c r="AB110" s="220"/>
      <c r="AC110"/>
      <c r="AD110"/>
      <c r="AE110"/>
      <c r="AF110"/>
      <c r="AG110"/>
      <c r="AH110" s="171">
        <v>0.7</v>
      </c>
      <c r="AN110" s="165" t="s">
        <v>199</v>
      </c>
      <c r="AO110" s="1" t="s">
        <v>0</v>
      </c>
      <c r="AP110" s="1" t="s">
        <v>192</v>
      </c>
      <c r="AQ110" s="1" t="s">
        <v>0</v>
      </c>
      <c r="AR110" s="1" t="s">
        <v>192</v>
      </c>
      <c r="AT110" s="189"/>
      <c r="AU110" s="220"/>
      <c r="AW110" s="220"/>
      <c r="AY110"/>
      <c r="AZ110"/>
      <c r="BA110"/>
      <c r="BB110"/>
    </row>
    <row r="111" spans="1:54" x14ac:dyDescent="0.2">
      <c r="C111" s="220"/>
      <c r="D111" s="220"/>
      <c r="E111" s="220"/>
      <c r="T111" s="6"/>
      <c r="AB111" s="220"/>
      <c r="AH111" s="171">
        <v>0.69</v>
      </c>
      <c r="AN111" s="165" t="s">
        <v>189</v>
      </c>
      <c r="AO111" s="236">
        <v>-6358381.1318135969</v>
      </c>
      <c r="AP111" s="236">
        <v>-17181786.020406116</v>
      </c>
      <c r="AQ111" s="236">
        <v>-10434114.083420666</v>
      </c>
      <c r="AR111" s="236">
        <v>-14710355.179590281</v>
      </c>
      <c r="AT111" s="189"/>
      <c r="AU111" s="220"/>
      <c r="AW111" s="220"/>
    </row>
    <row r="112" spans="1:54" x14ac:dyDescent="0.2">
      <c r="T112" s="6"/>
      <c r="AB112" s="220"/>
      <c r="AH112" s="171">
        <v>0.68</v>
      </c>
      <c r="AN112" s="165" t="s">
        <v>190</v>
      </c>
      <c r="AO112" s="236">
        <v>310.3880303028069</v>
      </c>
      <c r="AP112" s="236">
        <v>837.43741496588643</v>
      </c>
      <c r="AQ112" s="236">
        <v>509.25824175844087</v>
      </c>
      <c r="AR112" s="236">
        <v>716.93910018545284</v>
      </c>
      <c r="AT112" s="189"/>
      <c r="AU112" s="220"/>
      <c r="AW112" s="220"/>
    </row>
    <row r="113" spans="20:49" ht="13.5" thickBot="1" x14ac:dyDescent="0.25">
      <c r="T113" s="6"/>
      <c r="AB113" s="220"/>
      <c r="AH113" s="171">
        <v>0.67</v>
      </c>
      <c r="AN113" s="165" t="s">
        <v>191</v>
      </c>
      <c r="AO113" s="237">
        <v>-3.7878787878760675E-3</v>
      </c>
      <c r="AP113" s="237">
        <v>-1.0204081632651843E-2</v>
      </c>
      <c r="AQ113" s="237">
        <v>-6.2137862137886402E-3</v>
      </c>
      <c r="AR113" s="237">
        <v>-8.7353123067399532E-3</v>
      </c>
      <c r="AT113" s="189"/>
      <c r="AU113" s="220"/>
      <c r="AW113" s="220"/>
    </row>
    <row r="114" spans="20:49" x14ac:dyDescent="0.2">
      <c r="T114" s="6"/>
      <c r="AB114" s="220"/>
      <c r="AH114" s="171">
        <v>0.66</v>
      </c>
      <c r="AN114" s="165" t="s">
        <v>193</v>
      </c>
      <c r="AO114" s="171">
        <f ca="1">MAX(0,(AO111+$AO$107*AO112+$AO$107^2*AO113)/100)</f>
        <v>0.60519999998621643</v>
      </c>
      <c r="AP114" s="171">
        <f ca="1">MAX(0,(AP111+$AP$107*AP112+$AP$107^2*AP113)/100)</f>
        <v>0.89333333332091569</v>
      </c>
      <c r="AQ114" s="171">
        <f ca="1">MAX(0,(AQ111+$AO$107*AQ112+$AO$107^2*AQ113)/100)</f>
        <v>0.35099120881408452</v>
      </c>
      <c r="AR114" s="171">
        <f ca="1">MAX(0,(AR111+$AP$107*AR112+$AP$107^2*AR113)/100)</f>
        <v>0.92860606059432027</v>
      </c>
      <c r="AT114" s="189"/>
      <c r="AU114" s="220"/>
      <c r="AW114" s="220"/>
    </row>
    <row r="115" spans="20:49" x14ac:dyDescent="0.2">
      <c r="T115" s="6"/>
      <c r="AB115" s="220"/>
      <c r="AH115" s="171">
        <v>0.65</v>
      </c>
      <c r="AO115" s="274"/>
      <c r="AQ115" s="236"/>
      <c r="AT115" s="189"/>
      <c r="AU115" s="220"/>
      <c r="AW115" s="220"/>
    </row>
    <row r="116" spans="20:49" x14ac:dyDescent="0.2">
      <c r="T116" s="6"/>
      <c r="AB116" s="220"/>
      <c r="AH116" s="171">
        <v>0.64</v>
      </c>
      <c r="AT116" s="189"/>
      <c r="AU116" s="220"/>
      <c r="AW116" s="220"/>
    </row>
    <row r="117" spans="20:49" x14ac:dyDescent="0.2">
      <c r="T117" s="6"/>
      <c r="AB117" s="220"/>
      <c r="AH117" s="171">
        <v>0.63</v>
      </c>
      <c r="AN117" s="165"/>
      <c r="AT117" s="189"/>
      <c r="AU117" s="220"/>
      <c r="AW117" s="220"/>
    </row>
    <row r="118" spans="20:49" x14ac:dyDescent="0.2">
      <c r="T118" s="6"/>
      <c r="AB118" s="220"/>
      <c r="AH118" s="171">
        <v>0.62</v>
      </c>
      <c r="AN118" s="165"/>
      <c r="AO118" s="238"/>
      <c r="AP118" s="238"/>
      <c r="AQ118" s="238"/>
      <c r="AR118" s="238"/>
      <c r="AT118" s="189"/>
      <c r="AU118" s="220"/>
      <c r="AW118" s="220"/>
    </row>
    <row r="119" spans="20:49" x14ac:dyDescent="0.2">
      <c r="T119" s="6"/>
      <c r="AB119" s="220"/>
      <c r="AH119" s="171">
        <v>0.61</v>
      </c>
      <c r="AN119" s="165"/>
      <c r="AO119" s="238"/>
      <c r="AP119" s="238"/>
      <c r="AQ119" s="238"/>
      <c r="AR119" s="238"/>
      <c r="AT119" s="189"/>
      <c r="AU119" s="220"/>
      <c r="AW119" s="220"/>
    </row>
    <row r="120" spans="20:49" x14ac:dyDescent="0.2">
      <c r="T120" s="6"/>
      <c r="AB120" s="220"/>
      <c r="AH120" s="171">
        <v>0.6</v>
      </c>
      <c r="AN120" s="165"/>
      <c r="AO120" s="238"/>
      <c r="AP120" s="238"/>
      <c r="AQ120" s="238"/>
      <c r="AR120" s="238"/>
      <c r="AT120" s="189"/>
      <c r="AU120" s="220"/>
      <c r="AW120" s="220"/>
    </row>
    <row r="121" spans="20:49" x14ac:dyDescent="0.2">
      <c r="T121" s="6"/>
      <c r="AB121" s="220"/>
      <c r="AN121" s="165"/>
      <c r="AO121" s="238"/>
      <c r="AP121" s="238"/>
      <c r="AQ121" s="238"/>
      <c r="AR121" s="238"/>
      <c r="AT121" s="189"/>
      <c r="AU121" s="220"/>
      <c r="AW121" s="220"/>
    </row>
    <row r="122" spans="20:49" x14ac:dyDescent="0.2">
      <c r="T122" s="6"/>
      <c r="AB122" s="220"/>
      <c r="AT122" s="189"/>
      <c r="AU122" s="220"/>
      <c r="AW122" s="220"/>
    </row>
    <row r="123" spans="20:49" x14ac:dyDescent="0.2">
      <c r="T123" s="6"/>
      <c r="AB123" s="220"/>
      <c r="AT123" s="189"/>
      <c r="AU123" s="220"/>
      <c r="AW123" s="220"/>
    </row>
    <row r="124" spans="20:49" x14ac:dyDescent="0.2">
      <c r="T124" s="6"/>
      <c r="AB124" s="220"/>
      <c r="AN124" s="165"/>
      <c r="AT124" s="189"/>
      <c r="AU124" s="220"/>
      <c r="AW124" s="220"/>
    </row>
    <row r="125" spans="20:49" x14ac:dyDescent="0.2">
      <c r="T125" s="6"/>
      <c r="AB125" s="220"/>
      <c r="AT125" s="189"/>
      <c r="AU125" s="220"/>
      <c r="AW125" s="220"/>
    </row>
    <row r="126" spans="20:49" x14ac:dyDescent="0.2">
      <c r="T126" s="6"/>
      <c r="AB126" s="220"/>
      <c r="AT126" s="189"/>
      <c r="AU126" s="220"/>
      <c r="AW126" s="220"/>
    </row>
    <row r="127" spans="20:49" x14ac:dyDescent="0.2">
      <c r="T127" s="6"/>
      <c r="AB127" s="220"/>
      <c r="AT127" s="189"/>
      <c r="AU127" s="220"/>
      <c r="AW127" s="220"/>
    </row>
    <row r="128" spans="20:49" x14ac:dyDescent="0.2">
      <c r="T128" s="6"/>
      <c r="AB128" s="220"/>
      <c r="AT128" s="189"/>
      <c r="AU128" s="220"/>
      <c r="AW128" s="220"/>
    </row>
    <row r="129" spans="20:49" x14ac:dyDescent="0.2">
      <c r="T129" s="6"/>
      <c r="AB129" s="220"/>
      <c r="AT129" s="189"/>
      <c r="AU129" s="220"/>
      <c r="AW129" s="220"/>
    </row>
    <row r="130" spans="20:49" x14ac:dyDescent="0.2">
      <c r="T130" s="6"/>
      <c r="AB130" s="220"/>
      <c r="AT130" s="189"/>
      <c r="AU130" s="220"/>
      <c r="AW130" s="220"/>
    </row>
    <row r="131" spans="20:49" x14ac:dyDescent="0.2">
      <c r="T131" s="6"/>
      <c r="AB131" s="220"/>
      <c r="AT131" s="189"/>
      <c r="AU131" s="220"/>
      <c r="AW131" s="220"/>
    </row>
    <row r="132" spans="20:49" x14ac:dyDescent="0.2">
      <c r="T132" s="6"/>
      <c r="AB132" s="220"/>
      <c r="AT132" s="189"/>
      <c r="AU132" s="220"/>
      <c r="AW132" s="220"/>
    </row>
    <row r="133" spans="20:49" x14ac:dyDescent="0.2">
      <c r="T133" s="6"/>
      <c r="AB133" s="220"/>
      <c r="AT133" s="189"/>
      <c r="AU133" s="220"/>
      <c r="AW133" s="220"/>
    </row>
    <row r="134" spans="20:49" x14ac:dyDescent="0.2">
      <c r="T134" s="6"/>
      <c r="AB134" s="220"/>
      <c r="AT134" s="189"/>
      <c r="AU134" s="220"/>
      <c r="AW134" s="220"/>
    </row>
    <row r="135" spans="20:49" x14ac:dyDescent="0.2">
      <c r="T135" s="6"/>
      <c r="AB135" s="220"/>
      <c r="AT135" s="189"/>
      <c r="AU135" s="220"/>
      <c r="AW135" s="220"/>
    </row>
    <row r="136" spans="20:49" x14ac:dyDescent="0.2">
      <c r="T136" s="6"/>
      <c r="AB136" s="220"/>
      <c r="AT136" s="189"/>
      <c r="AU136" s="220"/>
      <c r="AW136" s="220"/>
    </row>
    <row r="137" spans="20:49" x14ac:dyDescent="0.2">
      <c r="T137" s="6"/>
      <c r="AB137" s="220"/>
      <c r="AT137" s="189"/>
      <c r="AU137" s="220"/>
      <c r="AW137" s="220"/>
    </row>
    <row r="138" spans="20:49" x14ac:dyDescent="0.2">
      <c r="T138" s="6"/>
      <c r="AB138" s="220"/>
      <c r="AT138" s="189"/>
      <c r="AU138" s="220"/>
      <c r="AW138" s="220"/>
    </row>
    <row r="139" spans="20:49" x14ac:dyDescent="0.2">
      <c r="T139" s="6"/>
      <c r="AB139" s="220"/>
      <c r="AT139" s="189"/>
      <c r="AU139" s="220"/>
      <c r="AW139" s="220"/>
    </row>
    <row r="140" spans="20:49" x14ac:dyDescent="0.2">
      <c r="T140" s="6"/>
      <c r="AB140" s="220"/>
      <c r="AT140" s="189"/>
      <c r="AU140" s="220"/>
      <c r="AW140" s="220"/>
    </row>
    <row r="141" spans="20:49" x14ac:dyDescent="0.2">
      <c r="T141" s="6"/>
      <c r="AB141" s="220"/>
      <c r="AT141" s="189"/>
      <c r="AU141" s="220"/>
      <c r="AW141" s="220"/>
    </row>
    <row r="142" spans="20:49" x14ac:dyDescent="0.2">
      <c r="T142" s="6"/>
      <c r="AB142" s="220"/>
      <c r="AT142" s="189"/>
      <c r="AU142" s="220"/>
      <c r="AW142" s="220"/>
    </row>
    <row r="143" spans="20:49" x14ac:dyDescent="0.2">
      <c r="T143" s="6"/>
      <c r="AB143" s="220"/>
      <c r="AT143" s="189"/>
      <c r="AU143" s="220"/>
      <c r="AW143" s="220"/>
    </row>
    <row r="144" spans="20:49" x14ac:dyDescent="0.2">
      <c r="T144" s="6"/>
      <c r="AB144" s="220"/>
      <c r="AT144" s="189"/>
      <c r="AU144" s="220"/>
      <c r="AW144" s="220"/>
    </row>
    <row r="145" spans="20:49" x14ac:dyDescent="0.2">
      <c r="T145" s="6"/>
      <c r="AB145" s="220"/>
      <c r="AT145" s="189"/>
      <c r="AU145" s="220"/>
      <c r="AW145" s="220"/>
    </row>
    <row r="146" spans="20:49" x14ac:dyDescent="0.2">
      <c r="T146" s="6"/>
      <c r="AB146" s="220"/>
      <c r="AT146" s="189"/>
      <c r="AU146" s="220"/>
      <c r="AW146" s="220"/>
    </row>
    <row r="147" spans="20:49" x14ac:dyDescent="0.2">
      <c r="T147" s="6"/>
      <c r="AB147" s="220"/>
      <c r="AT147" s="189"/>
      <c r="AU147" s="220"/>
      <c r="AW147" s="220"/>
    </row>
    <row r="148" spans="20:49" x14ac:dyDescent="0.2">
      <c r="T148" s="6"/>
      <c r="AB148" s="220"/>
      <c r="AT148" s="189"/>
      <c r="AU148" s="220"/>
      <c r="AW148" s="220"/>
    </row>
    <row r="149" spans="20:49" x14ac:dyDescent="0.2">
      <c r="T149" s="6"/>
      <c r="AB149" s="220"/>
      <c r="AT149" s="189"/>
      <c r="AU149" s="220"/>
      <c r="AW149" s="220"/>
    </row>
    <row r="150" spans="20:49" x14ac:dyDescent="0.2">
      <c r="T150" s="6"/>
      <c r="AB150" s="220"/>
      <c r="AT150" s="189"/>
      <c r="AU150" s="220"/>
      <c r="AW150" s="220"/>
    </row>
    <row r="151" spans="20:49" x14ac:dyDescent="0.2">
      <c r="T151" s="6"/>
      <c r="AB151" s="220"/>
      <c r="AT151" s="189"/>
      <c r="AU151" s="220"/>
      <c r="AW151" s="220"/>
    </row>
    <row r="152" spans="20:49" x14ac:dyDescent="0.2">
      <c r="T152" s="6"/>
      <c r="AB152" s="220"/>
      <c r="AT152" s="189"/>
      <c r="AU152" s="220"/>
      <c r="AW152" s="220"/>
    </row>
    <row r="153" spans="20:49" x14ac:dyDescent="0.2">
      <c r="T153" s="6"/>
      <c r="AB153" s="220"/>
      <c r="AT153" s="189"/>
      <c r="AU153" s="220"/>
      <c r="AW153" s="220"/>
    </row>
    <row r="154" spans="20:49" x14ac:dyDescent="0.2">
      <c r="T154" s="6"/>
      <c r="AB154" s="220"/>
      <c r="AT154" s="189"/>
      <c r="AU154" s="220"/>
      <c r="AW154" s="220"/>
    </row>
    <row r="155" spans="20:49" x14ac:dyDescent="0.2">
      <c r="T155" s="6"/>
      <c r="AB155" s="220"/>
      <c r="AT155" s="189"/>
      <c r="AU155" s="220"/>
      <c r="AW155" s="220"/>
    </row>
    <row r="156" spans="20:49" x14ac:dyDescent="0.2">
      <c r="T156" s="6"/>
      <c r="AB156" s="220"/>
      <c r="AT156" s="189"/>
      <c r="AU156" s="220"/>
      <c r="AW156" s="220"/>
    </row>
    <row r="157" spans="20:49" x14ac:dyDescent="0.2">
      <c r="T157" s="6"/>
      <c r="AB157" s="220"/>
      <c r="AT157" s="189"/>
      <c r="AU157" s="220"/>
      <c r="AW157" s="220"/>
    </row>
    <row r="158" spans="20:49" x14ac:dyDescent="0.2">
      <c r="T158" s="6"/>
      <c r="AB158" s="220"/>
      <c r="AT158" s="189"/>
      <c r="AU158" s="220"/>
      <c r="AW158" s="220"/>
    </row>
    <row r="159" spans="20:49" x14ac:dyDescent="0.2">
      <c r="T159" s="6"/>
      <c r="AB159" s="220"/>
      <c r="AT159" s="189"/>
      <c r="AU159" s="220"/>
      <c r="AW159" s="220"/>
    </row>
    <row r="160" spans="20:49" x14ac:dyDescent="0.2">
      <c r="T160" s="6"/>
      <c r="AB160" s="220"/>
      <c r="AT160" s="189"/>
      <c r="AU160" s="220"/>
      <c r="AW160" s="220"/>
    </row>
    <row r="161" spans="20:49" x14ac:dyDescent="0.2">
      <c r="T161" s="6"/>
      <c r="AB161" s="220"/>
      <c r="AT161" s="189"/>
      <c r="AU161" s="220"/>
      <c r="AW161" s="220"/>
    </row>
    <row r="162" spans="20:49" x14ac:dyDescent="0.2">
      <c r="T162" s="6"/>
      <c r="AB162" s="220"/>
      <c r="AT162" s="189"/>
      <c r="AU162" s="220"/>
      <c r="AW162" s="220"/>
    </row>
    <row r="163" spans="20:49" x14ac:dyDescent="0.2">
      <c r="T163" s="6"/>
      <c r="AB163" s="220"/>
      <c r="AT163" s="189"/>
      <c r="AU163" s="220"/>
      <c r="AW163" s="220"/>
    </row>
    <row r="164" spans="20:49" x14ac:dyDescent="0.2">
      <c r="T164" s="6"/>
      <c r="AB164" s="220"/>
      <c r="AT164" s="189"/>
      <c r="AU164" s="220"/>
      <c r="AW164" s="220"/>
    </row>
    <row r="165" spans="20:49" x14ac:dyDescent="0.2">
      <c r="T165" s="6"/>
      <c r="AB165" s="220"/>
      <c r="AT165" s="189"/>
      <c r="AU165" s="220"/>
      <c r="AW165" s="220"/>
    </row>
    <row r="166" spans="20:49" x14ac:dyDescent="0.2">
      <c r="T166" s="6"/>
      <c r="AB166" s="220"/>
      <c r="AT166" s="189"/>
      <c r="AU166" s="220"/>
      <c r="AW166" s="220"/>
    </row>
    <row r="167" spans="20:49" x14ac:dyDescent="0.2">
      <c r="T167" s="6"/>
      <c r="AB167" s="220"/>
      <c r="AT167" s="189"/>
      <c r="AU167" s="220"/>
      <c r="AW167" s="220"/>
    </row>
    <row r="168" spans="20:49" x14ac:dyDescent="0.2">
      <c r="T168" s="6"/>
      <c r="AB168" s="220"/>
      <c r="AT168" s="189"/>
      <c r="AU168" s="220"/>
      <c r="AW168" s="220"/>
    </row>
    <row r="169" spans="20:49" x14ac:dyDescent="0.2">
      <c r="T169" s="6"/>
      <c r="AB169" s="220"/>
      <c r="AT169" s="189"/>
      <c r="AU169" s="220"/>
      <c r="AW169" s="220"/>
    </row>
    <row r="170" spans="20:49" x14ac:dyDescent="0.2">
      <c r="T170" s="6"/>
      <c r="AB170" s="220"/>
      <c r="AT170" s="189"/>
      <c r="AU170" s="220"/>
      <c r="AW170" s="220"/>
    </row>
    <row r="171" spans="20:49" x14ac:dyDescent="0.2">
      <c r="T171" s="6"/>
      <c r="AB171" s="220"/>
      <c r="AT171" s="189"/>
      <c r="AU171" s="220"/>
      <c r="AW171" s="220"/>
    </row>
    <row r="172" spans="20:49" x14ac:dyDescent="0.2">
      <c r="T172" s="6"/>
      <c r="AB172" s="220"/>
      <c r="AT172" s="189"/>
      <c r="AU172" s="220"/>
      <c r="AW172" s="220"/>
    </row>
    <row r="173" spans="20:49" x14ac:dyDescent="0.2">
      <c r="T173" s="6"/>
      <c r="AB173" s="220"/>
      <c r="AT173" s="189"/>
      <c r="AU173" s="220"/>
      <c r="AW173" s="220"/>
    </row>
    <row r="174" spans="20:49" x14ac:dyDescent="0.2">
      <c r="T174" s="6"/>
      <c r="AB174" s="220"/>
      <c r="AT174" s="189"/>
      <c r="AU174" s="220"/>
      <c r="AW174" s="220"/>
    </row>
    <row r="175" spans="20:49" x14ac:dyDescent="0.2">
      <c r="T175" s="6"/>
      <c r="AB175" s="220"/>
      <c r="AT175" s="189"/>
      <c r="AU175" s="220"/>
      <c r="AW175" s="220"/>
    </row>
    <row r="176" spans="20:49" x14ac:dyDescent="0.2">
      <c r="T176" s="6"/>
      <c r="AB176" s="220"/>
      <c r="AT176" s="189"/>
      <c r="AU176" s="220"/>
      <c r="AW176" s="220"/>
    </row>
    <row r="177" spans="20:49" x14ac:dyDescent="0.2">
      <c r="T177" s="6"/>
      <c r="AB177" s="220"/>
      <c r="AT177" s="189"/>
      <c r="AU177" s="220"/>
      <c r="AW177" s="220"/>
    </row>
    <row r="178" spans="20:49" x14ac:dyDescent="0.2">
      <c r="T178" s="220"/>
      <c r="AB178" s="220"/>
      <c r="AT178" s="189"/>
      <c r="AU178" s="220"/>
      <c r="AW178" s="220"/>
    </row>
    <row r="179" spans="20:49" x14ac:dyDescent="0.2">
      <c r="T179" s="1"/>
      <c r="AB179" s="220"/>
      <c r="AT179" s="189"/>
      <c r="AU179" s="220"/>
      <c r="AW179" s="220"/>
    </row>
    <row r="180" spans="20:49" x14ac:dyDescent="0.2">
      <c r="AB180" s="220"/>
      <c r="AT180" s="189"/>
      <c r="AU180" s="220"/>
      <c r="AW180" s="220"/>
    </row>
    <row r="181" spans="20:49" x14ac:dyDescent="0.2">
      <c r="AB181" s="220"/>
      <c r="AT181" s="189"/>
      <c r="AU181" s="220"/>
      <c r="AW181" s="220"/>
    </row>
    <row r="182" spans="20:49" x14ac:dyDescent="0.2">
      <c r="AB182" s="220"/>
      <c r="AT182" s="189"/>
      <c r="AU182" s="220"/>
      <c r="AW182" s="220"/>
    </row>
    <row r="183" spans="20:49" x14ac:dyDescent="0.2">
      <c r="AB183" s="1"/>
      <c r="AT183" s="189"/>
      <c r="AU183" s="220"/>
      <c r="AW183" s="220"/>
    </row>
    <row r="184" spans="20:49" x14ac:dyDescent="0.2">
      <c r="AT184" s="189"/>
      <c r="AU184" s="220"/>
      <c r="AW184" s="220"/>
    </row>
    <row r="185" spans="20:49" x14ac:dyDescent="0.2">
      <c r="AT185" s="189"/>
      <c r="AU185" s="220"/>
      <c r="AW185" s="220"/>
    </row>
    <row r="186" spans="20:49" x14ac:dyDescent="0.2">
      <c r="AT186" s="189"/>
      <c r="AU186" s="220"/>
      <c r="AW186" s="220"/>
    </row>
    <row r="187" spans="20:49" x14ac:dyDescent="0.2">
      <c r="AT187" s="189"/>
      <c r="AU187" s="220"/>
      <c r="AW187" s="220"/>
    </row>
    <row r="188" spans="20:49" x14ac:dyDescent="0.2">
      <c r="AT188" s="189"/>
      <c r="AU188" s="220"/>
      <c r="AW188" s="220"/>
    </row>
    <row r="189" spans="20:49" x14ac:dyDescent="0.2">
      <c r="AT189" s="189"/>
      <c r="AU189" s="220"/>
      <c r="AW189" s="220"/>
    </row>
    <row r="190" spans="20:49" x14ac:dyDescent="0.2">
      <c r="AT190" s="189"/>
      <c r="AU190" s="220"/>
      <c r="AW190" s="220"/>
    </row>
    <row r="191" spans="20:49" x14ac:dyDescent="0.2">
      <c r="AT191" s="189"/>
      <c r="AU191" s="220"/>
      <c r="AW191" s="220"/>
    </row>
    <row r="192" spans="20:49" x14ac:dyDescent="0.2">
      <c r="AT192" s="189"/>
      <c r="AU192" s="220"/>
      <c r="AW192" s="220"/>
    </row>
    <row r="193" spans="46:49" x14ac:dyDescent="0.2">
      <c r="AT193" s="189"/>
      <c r="AU193" s="220"/>
      <c r="AW193" s="220"/>
    </row>
    <row r="194" spans="46:49" x14ac:dyDescent="0.2">
      <c r="AT194" s="189"/>
      <c r="AU194" s="220"/>
      <c r="AW194" s="220"/>
    </row>
    <row r="195" spans="46:49" x14ac:dyDescent="0.2">
      <c r="AT195" s="189"/>
      <c r="AU195" s="220"/>
      <c r="AW195" s="220"/>
    </row>
    <row r="196" spans="46:49" x14ac:dyDescent="0.2">
      <c r="AT196" s="189"/>
      <c r="AU196" s="220"/>
      <c r="AW196" s="220"/>
    </row>
    <row r="197" spans="46:49" x14ac:dyDescent="0.2">
      <c r="AT197" s="189"/>
      <c r="AU197" s="220"/>
      <c r="AW197" s="220"/>
    </row>
    <row r="198" spans="46:49" x14ac:dyDescent="0.2">
      <c r="AT198" s="189"/>
      <c r="AU198" s="220"/>
      <c r="AW198" s="220"/>
    </row>
    <row r="199" spans="46:49" x14ac:dyDescent="0.2">
      <c r="AT199" s="189"/>
      <c r="AU199" s="220"/>
      <c r="AW199" s="220"/>
    </row>
    <row r="200" spans="46:49" x14ac:dyDescent="0.2">
      <c r="AT200" s="189"/>
      <c r="AU200" s="220"/>
      <c r="AW200" s="220"/>
    </row>
    <row r="201" spans="46:49" x14ac:dyDescent="0.2">
      <c r="AT201" s="189"/>
      <c r="AU201" s="220"/>
      <c r="AW201" s="220"/>
    </row>
    <row r="202" spans="46:49" x14ac:dyDescent="0.2">
      <c r="AT202" s="189"/>
      <c r="AU202" s="220"/>
      <c r="AW202" s="220"/>
    </row>
  </sheetData>
  <sheetProtection sheet="1" selectLockedCells="1"/>
  <scenarios current="0" show="0">
    <scenario name="Corn Already Planted" count="1" user="William Edwards" comment="Created by William Edwards on 4/14/2005">
      <inputCells r="F14" val="38467" numFmtId="16"/>
    </scenario>
  </scenarios>
  <mergeCells count="12">
    <mergeCell ref="C27:D27"/>
    <mergeCell ref="C35:H35"/>
    <mergeCell ref="C68:F68"/>
    <mergeCell ref="D5:F5"/>
    <mergeCell ref="J8:N8"/>
    <mergeCell ref="J9:J10"/>
    <mergeCell ref="L9:L10"/>
    <mergeCell ref="N9:N10"/>
    <mergeCell ref="E17:F17"/>
    <mergeCell ref="J17:J19"/>
    <mergeCell ref="L17:L19"/>
    <mergeCell ref="N17:N19"/>
  </mergeCells>
  <conditionalFormatting sqref="J25:K25">
    <cfRule type="cellIs" dxfId="29" priority="8" operator="equal">
      <formula>0</formula>
    </cfRule>
  </conditionalFormatting>
  <conditionalFormatting sqref="L25:N25">
    <cfRule type="cellIs" dxfId="28" priority="7" operator="equal">
      <formula>0</formula>
    </cfRule>
  </conditionalFormatting>
  <conditionalFormatting sqref="J47 L47 N47">
    <cfRule type="iconSet" priority="6">
      <iconSet iconSet="3TrafficLights2">
        <cfvo type="percent" val="0"/>
        <cfvo type="percent" val="33"/>
        <cfvo type="percent" val="67"/>
      </iconSet>
    </cfRule>
  </conditionalFormatting>
  <conditionalFormatting sqref="J26 J20 L26 L20">
    <cfRule type="expression" dxfId="27" priority="9">
      <formula>$E$17="Revenue Protection"</formula>
    </cfRule>
  </conditionalFormatting>
  <conditionalFormatting sqref="J25 L25 L37">
    <cfRule type="expression" dxfId="26" priority="10">
      <formula>$E$17="Yield Protection"</formula>
    </cfRule>
  </conditionalFormatting>
  <conditionalFormatting sqref="E20:F20">
    <cfRule type="expression" dxfId="25" priority="11">
      <formula>OR($E$17="Revenue Protection")</formula>
    </cfRule>
  </conditionalFormatting>
  <conditionalFormatting sqref="N26 N20">
    <cfRule type="expression" dxfId="24" priority="12">
      <formula>$H$17="Revenue Protection"</formula>
    </cfRule>
  </conditionalFormatting>
  <conditionalFormatting sqref="N25">
    <cfRule type="expression" dxfId="23" priority="13">
      <formula>$H$17="Yield Protection"</formula>
    </cfRule>
  </conditionalFormatting>
  <conditionalFormatting sqref="J37:K37">
    <cfRule type="cellIs" dxfId="22" priority="3" operator="equal">
      <formula>0</formula>
    </cfRule>
  </conditionalFormatting>
  <conditionalFormatting sqref="J37">
    <cfRule type="expression" dxfId="21" priority="4">
      <formula>$AH$77&lt;4</formula>
    </cfRule>
  </conditionalFormatting>
  <conditionalFormatting sqref="H20">
    <cfRule type="expression" dxfId="20" priority="1">
      <formula>InsSels="Revenue Protection"</formula>
    </cfRule>
  </conditionalFormatting>
  <dataValidations count="9">
    <dataValidation type="list" allowBlank="1" showInputMessage="1" showErrorMessage="1" sqref="H17" xr:uid="{FCDB3128-EA15-4E44-89AE-FF410FDA0397}">
      <formula1>$H$80:$H$82</formula1>
    </dataValidation>
    <dataValidation type="list" allowBlank="1" showInputMessage="1" showErrorMessage="1" sqref="E17:F17" xr:uid="{CD25C07C-5E67-49D5-92D5-6C2E179C0B85}">
      <formula1>$H$80:$H$81</formula1>
    </dataValidation>
    <dataValidation type="list" allowBlank="1" showInputMessage="1" showErrorMessage="1" sqref="H18" xr:uid="{06151D17-E4CF-4951-8EEC-8C037B33F3A4}">
      <formula1>$AK$97:$AK$98</formula1>
    </dataValidation>
    <dataValidation type="list" allowBlank="1" showInputMessage="1" showErrorMessage="1" sqref="F22:H22" xr:uid="{2B3985E9-6A09-4F6D-B575-45B9D723375C}">
      <formula1>$AK$80:$AK$97</formula1>
    </dataValidation>
    <dataValidation type="list" allowBlank="1" showInputMessage="1" showErrorMessage="1" sqref="F18" xr:uid="{59C57313-407C-4EDD-8871-4E39AD87FA89}">
      <formula1>$AK$94:$AK$95</formula1>
    </dataValidation>
    <dataValidation allowBlank="1" showInputMessage="1" showErrorMessage="1" prompt="The futures price is used to estimate crop revenue insurance payments." sqref="F10:H10" xr:uid="{930F1840-53D0-4BF9-89D7-6E859E63D78B}"/>
    <dataValidation type="list" allowBlank="1" showInputMessage="1" showErrorMessage="1" sqref="H84" xr:uid="{075F9EE8-597A-43D7-AFFF-EC03622B9A0A}">
      <formula1>$AH$67:$AH$69</formula1>
    </dataValidation>
    <dataValidation type="list" allowBlank="1" showInputMessage="1" showErrorMessage="1" sqref="F20:H20" xr:uid="{D6F7FF2E-D4FA-426D-B3EC-16F143846B61}">
      <formula1>$AH$80:$AH$120</formula1>
    </dataValidation>
    <dataValidation type="list" allowBlank="1" showInputMessage="1" showErrorMessage="1" sqref="E18" xr:uid="{E2E5D6DD-B6F3-4B80-97C5-0F147D517F8A}">
      <formula1>$AN$80:$AN$84</formula1>
    </dataValidation>
  </dataValidations>
  <pageMargins left="0.45" right="0.51" top="0.53" bottom="0.5" header="0.5" footer="0.5"/>
  <pageSetup scale="69" orientation="landscape" r:id="rId1"/>
  <headerFooter alignWithMargins="0"/>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97996BA9-0D64-45A7-893B-C1493DD36DE2}">
          <x14:formula1>
            <xm:f>RMAData!$A$3:$A$117</xm:f>
          </x14:formula1>
          <xm:sqref>D5:G5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FA781-49FF-405D-9C50-267AE68F181A}">
  <sheetPr>
    <pageSetUpPr fitToPage="1"/>
  </sheetPr>
  <dimension ref="A1:AX202"/>
  <sheetViews>
    <sheetView showGridLines="0" topLeftCell="B1" zoomScale="115" zoomScaleNormal="115" workbookViewId="0">
      <selection activeCell="D5" sqref="D5"/>
    </sheetView>
  </sheetViews>
  <sheetFormatPr defaultColWidth="9.140625" defaultRowHeight="12.75" x14ac:dyDescent="0.2"/>
  <cols>
    <col min="1" max="1" width="2.28515625" style="156" customWidth="1"/>
    <col min="2" max="2" width="1.7109375" customWidth="1"/>
    <col min="3" max="3" width="29.7109375" customWidth="1"/>
    <col min="4" max="4" width="14" customWidth="1"/>
    <col min="5" max="5" width="0.85546875" customWidth="1"/>
    <col min="6" max="6" width="17.42578125" customWidth="1"/>
    <col min="7" max="7" width="1.7109375" customWidth="1"/>
    <col min="8" max="8" width="17.85546875" customWidth="1"/>
    <col min="9" max="9" width="0.85546875" customWidth="1"/>
    <col min="10" max="10" width="19.7109375" customWidth="1"/>
    <col min="11" max="11" width="1.7109375" customWidth="1"/>
    <col min="13" max="13" width="28.7109375" customWidth="1"/>
    <col min="14" max="14" width="13.140625" customWidth="1"/>
    <col min="15" max="15" width="11.85546875" customWidth="1"/>
    <col min="16" max="16" width="89.7109375" customWidth="1"/>
    <col min="36" max="36" width="34.42578125" bestFit="1" customWidth="1"/>
    <col min="37" max="37" width="10.5703125" bestFit="1" customWidth="1"/>
    <col min="38" max="38" width="13.42578125" bestFit="1" customWidth="1"/>
    <col min="46" max="46" width="9.85546875" bestFit="1" customWidth="1"/>
  </cols>
  <sheetData>
    <row r="1" spans="1:18" s="147" customFormat="1" ht="18.75" thickBot="1" x14ac:dyDescent="0.3">
      <c r="A1" s="146"/>
      <c r="C1" s="148" t="s">
        <v>178</v>
      </c>
      <c r="H1" s="148"/>
    </row>
    <row r="2" spans="1:18" s="150" customFormat="1" ht="7.5" customHeight="1" thickTop="1" x14ac:dyDescent="0.25">
      <c r="A2" s="149"/>
    </row>
    <row r="3" spans="1:18" s="36" customFormat="1" ht="15" x14ac:dyDescent="0.25">
      <c r="A3" s="149"/>
      <c r="C3" s="151" t="s">
        <v>177</v>
      </c>
      <c r="D3" s="152"/>
      <c r="F3" s="121" t="s">
        <v>174</v>
      </c>
      <c r="G3" s="121"/>
      <c r="H3" s="121"/>
      <c r="I3" s="121"/>
      <c r="J3" s="121"/>
      <c r="L3" s="1"/>
    </row>
    <row r="4" spans="1:18" s="36" customFormat="1" ht="8.25" customHeight="1" x14ac:dyDescent="0.2">
      <c r="A4" s="149"/>
      <c r="G4"/>
      <c r="H4"/>
      <c r="I4"/>
      <c r="J4" s="1"/>
      <c r="K4"/>
      <c r="L4"/>
      <c r="M4" s="155"/>
      <c r="N4" s="155"/>
      <c r="O4" s="155"/>
      <c r="P4" s="155"/>
      <c r="Q4" s="155"/>
      <c r="R4"/>
    </row>
    <row r="5" spans="1:18" s="36" customFormat="1" ht="17.25" customHeight="1" x14ac:dyDescent="0.25">
      <c r="A5" s="149"/>
      <c r="C5" s="114" t="s">
        <v>164</v>
      </c>
      <c r="D5" s="266" t="s">
        <v>31</v>
      </c>
      <c r="E5" s="4"/>
      <c r="F5" s="269" t="s">
        <v>203</v>
      </c>
      <c r="H5" s="23"/>
      <c r="I5" s="23"/>
      <c r="J5" s="154"/>
      <c r="K5"/>
      <c r="L5"/>
      <c r="M5" s="155"/>
      <c r="N5" s="155"/>
      <c r="O5" s="155"/>
      <c r="P5" s="155"/>
      <c r="Q5" s="155"/>
      <c r="R5"/>
    </row>
    <row r="6" spans="1:18" ht="4.5" customHeight="1" x14ac:dyDescent="0.2">
      <c r="N6" s="155"/>
      <c r="O6" s="155"/>
      <c r="P6" s="155"/>
      <c r="Q6" s="155"/>
    </row>
    <row r="7" spans="1:18" ht="6" customHeight="1" thickBot="1" x14ac:dyDescent="0.25">
      <c r="F7" s="13"/>
      <c r="H7" s="36"/>
      <c r="I7" s="36"/>
      <c r="M7" s="155"/>
      <c r="N7" s="155"/>
      <c r="O7" s="155"/>
      <c r="P7" s="155"/>
      <c r="Q7" s="155"/>
    </row>
    <row r="8" spans="1:18" ht="18" thickBot="1" x14ac:dyDescent="0.35">
      <c r="C8" s="157" t="s">
        <v>161</v>
      </c>
      <c r="D8" s="158"/>
      <c r="E8" s="80"/>
      <c r="F8" s="81" t="s">
        <v>1</v>
      </c>
      <c r="H8" s="417" t="s">
        <v>241</v>
      </c>
      <c r="I8" s="418"/>
      <c r="J8" s="419"/>
      <c r="K8" s="72"/>
      <c r="L8" s="16"/>
      <c r="M8" s="18"/>
      <c r="N8" s="16"/>
      <c r="O8" s="16"/>
      <c r="P8" s="16"/>
      <c r="Q8" s="16"/>
      <c r="R8" s="16"/>
    </row>
    <row r="9" spans="1:18" ht="15.75" thickTop="1" x14ac:dyDescent="0.25">
      <c r="C9" s="25" t="s">
        <v>165</v>
      </c>
      <c r="D9" s="51"/>
      <c r="E9" s="160"/>
      <c r="F9" s="74">
        <v>13</v>
      </c>
      <c r="H9" s="420" t="s">
        <v>22</v>
      </c>
      <c r="I9" s="308"/>
      <c r="J9" s="426" t="s">
        <v>175</v>
      </c>
      <c r="K9" s="33"/>
      <c r="L9" s="4"/>
      <c r="M9" s="155"/>
      <c r="N9" s="4"/>
      <c r="O9" s="4"/>
      <c r="P9" s="4"/>
      <c r="Q9" s="4"/>
      <c r="R9" s="4"/>
    </row>
    <row r="10" spans="1:18" ht="12.75" customHeight="1" x14ac:dyDescent="0.25">
      <c r="C10" s="25" t="s">
        <v>166</v>
      </c>
      <c r="D10" s="26"/>
      <c r="E10" s="160"/>
      <c r="F10" s="74">
        <v>13.75</v>
      </c>
      <c r="H10" s="421"/>
      <c r="I10" s="116"/>
      <c r="J10" s="427"/>
      <c r="K10" s="5"/>
      <c r="L10" s="4"/>
      <c r="M10" s="155"/>
      <c r="N10" s="4"/>
      <c r="O10" s="4"/>
      <c r="P10" s="4"/>
      <c r="Q10" s="4"/>
      <c r="R10" s="4"/>
    </row>
    <row r="11" spans="1:18" ht="15" x14ac:dyDescent="0.25">
      <c r="C11" s="24" t="s">
        <v>167</v>
      </c>
      <c r="E11" s="163"/>
      <c r="F11" s="133">
        <f>IndemPs</f>
        <v>13.76</v>
      </c>
      <c r="H11" s="310">
        <f>IF(InsSels="Yield Protection",F11*F20,F11)</f>
        <v>13.76</v>
      </c>
      <c r="I11" s="116"/>
      <c r="J11" s="329">
        <f>IF(InsSels="Yield Protection",F11*F20,F11)</f>
        <v>13.76</v>
      </c>
      <c r="K11" s="6"/>
      <c r="L11" s="4"/>
      <c r="M11" s="1"/>
      <c r="N11" s="4"/>
      <c r="O11" s="4"/>
      <c r="P11" s="4"/>
      <c r="Q11" s="4"/>
      <c r="R11" s="4"/>
    </row>
    <row r="12" spans="1:18" ht="23.25" customHeight="1" thickBot="1" x14ac:dyDescent="0.35">
      <c r="C12" s="162" t="s">
        <v>160</v>
      </c>
      <c r="E12" s="163"/>
      <c r="F12" s="164"/>
      <c r="H12" s="265"/>
      <c r="I12" s="116"/>
      <c r="J12" s="283"/>
      <c r="K12" s="33"/>
      <c r="L12" s="2"/>
      <c r="N12" s="1"/>
      <c r="O12" s="1"/>
      <c r="P12" s="2"/>
      <c r="Q12" s="2"/>
      <c r="R12" s="2"/>
    </row>
    <row r="13" spans="1:18" ht="15.75" thickTop="1" x14ac:dyDescent="0.25">
      <c r="C13" s="25" t="s">
        <v>155</v>
      </c>
      <c r="D13" s="26"/>
      <c r="E13" s="163"/>
      <c r="F13" s="76">
        <v>50</v>
      </c>
      <c r="H13" s="265"/>
      <c r="I13" s="116"/>
      <c r="J13" s="283"/>
      <c r="K13" s="33"/>
      <c r="L13" s="2"/>
      <c r="N13" s="1"/>
      <c r="O13" s="1"/>
      <c r="P13" s="2"/>
      <c r="Q13" s="2"/>
      <c r="R13" s="2"/>
    </row>
    <row r="14" spans="1:18" ht="15" x14ac:dyDescent="0.25">
      <c r="C14" s="25" t="s">
        <v>158</v>
      </c>
      <c r="D14" s="26"/>
      <c r="E14" s="167"/>
      <c r="F14" s="126">
        <v>45108</v>
      </c>
      <c r="H14" s="313"/>
      <c r="I14" s="315"/>
      <c r="J14" s="321">
        <f>F14</f>
        <v>45108</v>
      </c>
      <c r="K14" s="168"/>
      <c r="N14" s="155"/>
      <c r="O14" s="155"/>
      <c r="P14" s="155"/>
      <c r="Q14" s="155"/>
    </row>
    <row r="15" spans="1:18" ht="15" x14ac:dyDescent="0.25">
      <c r="C15" s="25" t="s">
        <v>228</v>
      </c>
      <c r="D15" s="26"/>
      <c r="E15" s="302"/>
      <c r="F15" s="303"/>
      <c r="H15" s="313">
        <v>0</v>
      </c>
      <c r="I15" s="315"/>
      <c r="J15" s="330">
        <f ca="1">MIN(F13,IF(Region="Central and North MO",AL114*F13,AN114*F13))</f>
        <v>33.108163265511394</v>
      </c>
      <c r="M15" s="272"/>
      <c r="N15" s="155"/>
      <c r="O15" s="155"/>
      <c r="P15" s="155"/>
      <c r="Q15" s="155"/>
    </row>
    <row r="16" spans="1:18" ht="23.25" customHeight="1" thickBot="1" x14ac:dyDescent="0.35">
      <c r="C16" s="131" t="s">
        <v>12</v>
      </c>
      <c r="D16" s="32"/>
      <c r="E16" s="82"/>
      <c r="F16" s="83"/>
      <c r="H16" s="41"/>
      <c r="I16" s="42"/>
      <c r="J16" s="289"/>
      <c r="M16" s="272"/>
      <c r="N16" s="155"/>
      <c r="O16" s="155"/>
      <c r="P16" s="155"/>
      <c r="Q16" s="155"/>
    </row>
    <row r="17" spans="1:23" ht="29.25" customHeight="1" thickTop="1" x14ac:dyDescent="0.25">
      <c r="C17" s="25" t="s">
        <v>152</v>
      </c>
      <c r="D17" s="51"/>
      <c r="E17" s="161"/>
      <c r="F17" s="304" t="s">
        <v>26</v>
      </c>
      <c r="H17" s="414" t="str">
        <f>InsSels</f>
        <v>Yield Protection</v>
      </c>
      <c r="I17" s="114"/>
      <c r="J17" s="406" t="str">
        <f>InsSels</f>
        <v>Yield Protection</v>
      </c>
      <c r="K17" s="170"/>
      <c r="M17" s="16" t="s">
        <v>245</v>
      </c>
      <c r="N17" s="325" t="s">
        <v>0</v>
      </c>
      <c r="O17" s="325" t="s">
        <v>192</v>
      </c>
      <c r="P17" s="16" t="s">
        <v>246</v>
      </c>
      <c r="Q17" s="16"/>
    </row>
    <row r="18" spans="1:23" ht="15" customHeight="1" x14ac:dyDescent="0.25">
      <c r="C18" s="25" t="s">
        <v>214</v>
      </c>
      <c r="D18" s="51"/>
      <c r="E18" s="161">
        <v>60</v>
      </c>
      <c r="F18" s="277">
        <v>0.6</v>
      </c>
      <c r="H18" s="414"/>
      <c r="I18" s="114"/>
      <c r="J18" s="406"/>
      <c r="K18" s="170"/>
      <c r="M18" s="16" t="s">
        <v>204</v>
      </c>
      <c r="N18" s="326">
        <f>VLOOKUP(County,RMAData!$A$3:$F$117,5)</f>
        <v>45021</v>
      </c>
      <c r="O18" s="326">
        <f>VLOOKUP(County,RMADates[],6)</f>
        <v>45036</v>
      </c>
      <c r="P18" s="16" t="s">
        <v>208</v>
      </c>
      <c r="Q18" s="16"/>
    </row>
    <row r="19" spans="1:23" ht="15" x14ac:dyDescent="0.25">
      <c r="C19" s="129" t="s">
        <v>11</v>
      </c>
      <c r="D19" s="51"/>
      <c r="E19" s="160"/>
      <c r="F19" s="74">
        <v>20</v>
      </c>
      <c r="H19" s="414"/>
      <c r="I19" s="114"/>
      <c r="J19" s="406"/>
      <c r="K19" s="170"/>
      <c r="M19" s="16" t="s">
        <v>210</v>
      </c>
      <c r="N19" s="326">
        <f>VLOOKUP(County,RMADates[],3)</f>
        <v>45077</v>
      </c>
      <c r="O19" s="326">
        <f>VLOOKUP(County,RMADates[],4)</f>
        <v>45097</v>
      </c>
      <c r="P19" s="16" t="s">
        <v>221</v>
      </c>
      <c r="Q19" s="16"/>
    </row>
    <row r="20" spans="1:23" ht="15" x14ac:dyDescent="0.25">
      <c r="C20" s="25" t="s">
        <v>169</v>
      </c>
      <c r="D20" s="51"/>
      <c r="E20" s="86"/>
      <c r="F20" s="298">
        <v>1</v>
      </c>
      <c r="H20" s="142"/>
      <c r="I20" s="299"/>
      <c r="J20" s="301"/>
      <c r="K20" s="171"/>
      <c r="M20" s="16" t="s">
        <v>205</v>
      </c>
      <c r="N20" s="326">
        <f>VLOOKUP(County,RMADates[],3)+1</f>
        <v>45078</v>
      </c>
      <c r="O20" s="326">
        <f>VLOOKUP(County,RMADates[],4)+1</f>
        <v>45098</v>
      </c>
      <c r="P20" s="16" t="s">
        <v>222</v>
      </c>
      <c r="Q20" s="16"/>
    </row>
    <row r="21" spans="1:23" ht="15" x14ac:dyDescent="0.25">
      <c r="C21" s="25" t="s">
        <v>157</v>
      </c>
      <c r="D21" s="51"/>
      <c r="E21" s="163"/>
      <c r="F21" s="76">
        <v>45</v>
      </c>
      <c r="H21" s="41"/>
      <c r="I21" s="42"/>
      <c r="J21" s="289"/>
      <c r="M21" s="16" t="s">
        <v>206</v>
      </c>
      <c r="N21" s="326">
        <f>VLOOKUP($D$5,RMADates[],3)+PlPerc</f>
        <v>45097</v>
      </c>
      <c r="O21" s="326">
        <f>VLOOKUP(County,RMADates[],4)+PlPers</f>
        <v>45122</v>
      </c>
      <c r="P21" s="16" t="s">
        <v>223</v>
      </c>
      <c r="Q21" s="16"/>
    </row>
    <row r="22" spans="1:23" ht="15" x14ac:dyDescent="0.25">
      <c r="C22" s="25" t="s">
        <v>8</v>
      </c>
      <c r="D22" s="51"/>
      <c r="E22" s="86"/>
      <c r="F22" s="79">
        <v>0.75</v>
      </c>
      <c r="H22" s="279"/>
      <c r="I22" s="290"/>
      <c r="J22" s="292"/>
      <c r="K22" s="171"/>
      <c r="M22" s="16" t="s">
        <v>207</v>
      </c>
      <c r="N22" s="326">
        <f>VLOOKUP(County,RMADates[],3)+H87</f>
        <v>45087</v>
      </c>
      <c r="O22" s="326">
        <f>VLOOKUP(County,RMADates[],4)+H87</f>
        <v>45107</v>
      </c>
      <c r="P22" s="16" t="s">
        <v>224</v>
      </c>
      <c r="Q22" s="16"/>
    </row>
    <row r="23" spans="1:23" ht="15" x14ac:dyDescent="0.25">
      <c r="C23" s="25" t="s">
        <v>227</v>
      </c>
      <c r="D23" s="51"/>
      <c r="E23" s="86"/>
      <c r="F23" s="174"/>
      <c r="H23" s="307"/>
      <c r="I23" s="290"/>
      <c r="J23" s="331">
        <f>IF(F14&lt;FinPLs,InsCovs,IF(F14&gt;(EndPls),F18,InsCovs-(F14-FinPLs)/100))</f>
        <v>0.64</v>
      </c>
      <c r="K23" s="171"/>
    </row>
    <row r="24" spans="1:23" ht="6" customHeight="1" x14ac:dyDescent="0.2">
      <c r="C24" s="172"/>
      <c r="F24" s="174"/>
      <c r="H24" s="41"/>
      <c r="I24" s="42"/>
      <c r="J24" s="294"/>
    </row>
    <row r="25" spans="1:23" s="4" customFormat="1" ht="12.75" customHeight="1" x14ac:dyDescent="0.2">
      <c r="A25" s="156"/>
      <c r="B25"/>
      <c r="C25" s="115" t="s">
        <v>220</v>
      </c>
      <c r="F25" s="174"/>
      <c r="G25" s="2"/>
      <c r="H25" s="142">
        <f>APHs*InsCovs*H11*F18</f>
        <v>278.64</v>
      </c>
      <c r="I25" s="299"/>
      <c r="J25" s="301">
        <f>APHs*J23*J11</f>
        <v>396.28800000000001</v>
      </c>
      <c r="W25" s="175"/>
    </row>
    <row r="26" spans="1:23" s="1" customFormat="1" x14ac:dyDescent="0.2">
      <c r="A26" s="176"/>
      <c r="C26" s="177" t="s">
        <v>218</v>
      </c>
      <c r="F26" s="178"/>
      <c r="H26" s="380">
        <f>F22*APHs</f>
        <v>33.75</v>
      </c>
      <c r="I26" s="315"/>
      <c r="J26" s="330">
        <f>J23*APHs</f>
        <v>28.8</v>
      </c>
      <c r="K26" s="139"/>
      <c r="W26" s="165"/>
    </row>
    <row r="27" spans="1:23" s="2" customFormat="1" ht="23.25" customHeight="1" thickBot="1" x14ac:dyDescent="0.35">
      <c r="A27" s="149"/>
      <c r="B27" s="36"/>
      <c r="C27" s="411" t="s">
        <v>20</v>
      </c>
      <c r="D27" s="412"/>
      <c r="E27" s="4"/>
      <c r="F27" s="174"/>
      <c r="H27" s="41"/>
      <c r="I27" s="42"/>
      <c r="J27" s="294"/>
      <c r="M27" s="1"/>
    </row>
    <row r="28" spans="1:23" s="2" customFormat="1" ht="15.75" thickTop="1" x14ac:dyDescent="0.25">
      <c r="A28" s="149"/>
      <c r="B28"/>
      <c r="C28" s="129" t="s">
        <v>10</v>
      </c>
      <c r="D28" s="51"/>
      <c r="F28" s="10"/>
      <c r="G28" s="8"/>
      <c r="H28" s="381"/>
      <c r="I28" s="347"/>
      <c r="J28" s="382"/>
      <c r="N28" s="1"/>
    </row>
    <row r="29" spans="1:23" s="2" customFormat="1" ht="12.75" customHeight="1" x14ac:dyDescent="0.25">
      <c r="A29" s="149"/>
      <c r="B29"/>
      <c r="C29" s="47" t="s">
        <v>16</v>
      </c>
      <c r="D29" s="32"/>
      <c r="E29" s="51"/>
      <c r="F29" s="10"/>
      <c r="H29" s="349"/>
      <c r="I29" s="347"/>
      <c r="J29" s="376"/>
      <c r="M29" s="276"/>
      <c r="R29" s="276"/>
    </row>
    <row r="30" spans="1:23" s="2" customFormat="1" ht="12.75" customHeight="1" x14ac:dyDescent="0.25">
      <c r="A30" s="156"/>
      <c r="B30"/>
      <c r="C30" s="24" t="s">
        <v>240</v>
      </c>
      <c r="F30" s="10"/>
      <c r="H30" s="346"/>
      <c r="I30" s="351"/>
      <c r="J30" s="353">
        <v>95</v>
      </c>
      <c r="K30" s="9"/>
      <c r="M30" s="271"/>
      <c r="N30" s="273"/>
      <c r="O30" s="273"/>
      <c r="R30" s="276"/>
    </row>
    <row r="31" spans="1:23" s="2" customFormat="1" ht="15" x14ac:dyDescent="0.25">
      <c r="A31" s="156"/>
      <c r="B31"/>
      <c r="C31" s="129" t="s">
        <v>2</v>
      </c>
      <c r="D31" s="51"/>
      <c r="F31" s="10"/>
      <c r="H31" s="354"/>
      <c r="I31" s="355"/>
      <c r="J31" s="377">
        <v>45</v>
      </c>
      <c r="K31" s="9"/>
      <c r="M31" s="271"/>
      <c r="N31" s="273"/>
      <c r="O31" s="273"/>
      <c r="R31" s="276"/>
    </row>
    <row r="32" spans="1:23" s="2" customFormat="1" ht="15" x14ac:dyDescent="0.25">
      <c r="A32" s="156"/>
      <c r="B32"/>
      <c r="C32" s="25" t="s">
        <v>162</v>
      </c>
      <c r="D32" s="51"/>
      <c r="F32" s="10"/>
      <c r="H32" s="354">
        <v>30</v>
      </c>
      <c r="I32" s="355"/>
      <c r="J32" s="377">
        <v>30</v>
      </c>
      <c r="K32" s="9"/>
      <c r="M32" s="271"/>
      <c r="N32" s="273"/>
      <c r="O32" s="273"/>
      <c r="R32" s="276"/>
    </row>
    <row r="33" spans="1:18" s="2" customFormat="1" ht="15" x14ac:dyDescent="0.25">
      <c r="A33" s="156"/>
      <c r="B33"/>
      <c r="C33" s="129" t="s">
        <v>3</v>
      </c>
      <c r="D33" s="51"/>
      <c r="F33" s="10"/>
      <c r="H33" s="354">
        <v>2</v>
      </c>
      <c r="I33" s="355"/>
      <c r="J33" s="377">
        <v>6</v>
      </c>
      <c r="K33" s="9"/>
      <c r="M33" s="271"/>
      <c r="R33" s="276"/>
    </row>
    <row r="34" spans="1:18" s="2" customFormat="1" ht="15" x14ac:dyDescent="0.25">
      <c r="A34" s="156"/>
      <c r="B34"/>
      <c r="C34" s="129" t="s">
        <v>4</v>
      </c>
      <c r="D34" s="51"/>
      <c r="F34" s="10"/>
      <c r="H34" s="354">
        <v>2</v>
      </c>
      <c r="I34" s="359"/>
      <c r="J34" s="377">
        <v>4</v>
      </c>
      <c r="K34" s="8"/>
      <c r="M34" s="271"/>
      <c r="N34" s="1"/>
      <c r="R34" s="276"/>
    </row>
    <row r="35" spans="1:18" s="2" customFormat="1" ht="15" x14ac:dyDescent="0.25">
      <c r="A35" s="156"/>
      <c r="B35"/>
      <c r="C35" s="407" t="s">
        <v>9</v>
      </c>
      <c r="D35" s="408"/>
      <c r="E35" s="408"/>
      <c r="F35" s="409"/>
      <c r="H35" s="354"/>
      <c r="I35" s="357"/>
      <c r="J35" s="377"/>
      <c r="M35" s="271"/>
      <c r="N35" s="276"/>
      <c r="R35" s="276"/>
    </row>
    <row r="36" spans="1:18" s="2" customFormat="1" ht="15" x14ac:dyDescent="0.25">
      <c r="A36" s="156"/>
      <c r="B36"/>
      <c r="C36" s="48" t="s">
        <v>17</v>
      </c>
      <c r="D36" s="52"/>
      <c r="E36" s="182"/>
      <c r="F36" s="61" t="s">
        <v>1</v>
      </c>
      <c r="H36" s="360"/>
      <c r="I36" s="361"/>
      <c r="J36" s="378"/>
      <c r="K36" s="8"/>
      <c r="M36" s="271"/>
      <c r="N36" s="1"/>
      <c r="R36" s="276"/>
    </row>
    <row r="37" spans="1:18" s="2" customFormat="1" ht="15" x14ac:dyDescent="0.25">
      <c r="A37" s="156"/>
      <c r="B37"/>
      <c r="C37" s="15" t="s">
        <v>163</v>
      </c>
      <c r="D37" s="327"/>
      <c r="E37" s="184"/>
      <c r="F37" s="40">
        <v>0.05</v>
      </c>
      <c r="H37" s="363"/>
      <c r="I37" s="364"/>
      <c r="J37" s="375">
        <f ca="1">F37*J15</f>
        <v>1.6554081632755697</v>
      </c>
      <c r="K37" s="11"/>
      <c r="M37" s="271"/>
      <c r="R37" s="276"/>
    </row>
    <row r="38" spans="1:18" s="2" customFormat="1" ht="15" x14ac:dyDescent="0.25">
      <c r="A38" s="156"/>
      <c r="B38"/>
      <c r="C38" s="129" t="s">
        <v>3</v>
      </c>
      <c r="D38" s="51"/>
      <c r="F38" s="10"/>
      <c r="H38" s="354"/>
      <c r="I38" s="355"/>
      <c r="J38" s="377">
        <v>11</v>
      </c>
      <c r="K38" s="9"/>
      <c r="M38" s="271"/>
      <c r="R38" s="276"/>
    </row>
    <row r="39" spans="1:18" s="2" customFormat="1" ht="15" x14ac:dyDescent="0.25">
      <c r="A39" s="156"/>
      <c r="B39"/>
      <c r="C39" s="129" t="s">
        <v>9</v>
      </c>
      <c r="F39" s="10"/>
      <c r="H39" s="354"/>
      <c r="I39" s="355"/>
      <c r="J39" s="377"/>
      <c r="K39" s="9"/>
      <c r="M39" s="271"/>
      <c r="R39" s="276"/>
    </row>
    <row r="40" spans="1:18" s="186" customFormat="1" ht="12.75" customHeight="1" x14ac:dyDescent="0.25">
      <c r="A40" s="185"/>
      <c r="B40" s="69"/>
      <c r="C40" s="3" t="s">
        <v>4</v>
      </c>
      <c r="D40" s="2"/>
      <c r="F40" s="187"/>
      <c r="G40" s="69"/>
      <c r="H40" s="365"/>
      <c r="I40" s="366"/>
      <c r="J40" s="379">
        <v>15</v>
      </c>
      <c r="K40" s="28"/>
      <c r="M40" s="271"/>
      <c r="N40" s="2"/>
      <c r="R40" s="276"/>
    </row>
    <row r="41" spans="1:18" s="39" customFormat="1" ht="15.75" thickBot="1" x14ac:dyDescent="0.3">
      <c r="A41" s="188"/>
      <c r="B41" s="189"/>
      <c r="C41" s="102" t="s">
        <v>14</v>
      </c>
      <c r="D41" s="190"/>
      <c r="E41" s="193"/>
      <c r="F41" s="194"/>
      <c r="G41" s="100"/>
      <c r="H41" s="369">
        <f>SUM(H28:H40)</f>
        <v>34</v>
      </c>
      <c r="I41" s="370"/>
      <c r="J41" s="372">
        <f ca="1">SUM(J28:J40)</f>
        <v>207.65540816327558</v>
      </c>
      <c r="K41" s="104"/>
    </row>
    <row r="42" spans="1:18" s="2" customFormat="1" ht="13.5" thickTop="1" x14ac:dyDescent="0.2">
      <c r="A42" s="156"/>
      <c r="B42"/>
      <c r="C42" s="195"/>
      <c r="D42" s="186"/>
      <c r="F42" s="10"/>
      <c r="H42" s="38"/>
      <c r="I42" s="29"/>
      <c r="J42" s="198"/>
      <c r="K42" s="29"/>
      <c r="M42" s="166"/>
    </row>
    <row r="43" spans="1:18" s="2" customFormat="1" x14ac:dyDescent="0.2">
      <c r="A43" s="156"/>
      <c r="B43"/>
      <c r="C43" s="3" t="s">
        <v>13</v>
      </c>
      <c r="F43" s="10"/>
      <c r="H43" s="88">
        <f>H15*$F9</f>
        <v>0</v>
      </c>
      <c r="I43" s="49"/>
      <c r="J43" s="50">
        <f ca="1">J15*$F9</f>
        <v>430.40612245164812</v>
      </c>
      <c r="K43" s="90"/>
      <c r="M43" s="166"/>
    </row>
    <row r="44" spans="1:18" s="2" customFormat="1" x14ac:dyDescent="0.2">
      <c r="A44" s="156"/>
      <c r="B44"/>
      <c r="C44" s="3" t="s">
        <v>6</v>
      </c>
      <c r="F44" s="10"/>
      <c r="H44" s="88">
        <f>IF(InsSels="Yield Protection",H26*F18*H11,RevGuarc)</f>
        <v>278.64</v>
      </c>
      <c r="I44" s="49"/>
      <c r="J44" s="50">
        <f ca="1">IF(InsSels="Yield Protection",RepYPIndc,RepRPIndc)</f>
        <v>0</v>
      </c>
      <c r="K44" s="39"/>
      <c r="M44" s="165"/>
    </row>
    <row r="45" spans="1:18" s="2" customFormat="1" x14ac:dyDescent="0.2">
      <c r="A45" s="156"/>
      <c r="B45"/>
      <c r="C45" s="3" t="s">
        <v>5</v>
      </c>
      <c r="F45" s="10"/>
      <c r="H45" s="88"/>
      <c r="I45" s="49"/>
      <c r="J45" s="50"/>
      <c r="K45" s="90"/>
      <c r="M45" s="169"/>
    </row>
    <row r="46" spans="1:18" s="199" customFormat="1" ht="15.75" thickBot="1" x14ac:dyDescent="0.3">
      <c r="A46" s="156"/>
      <c r="B46"/>
      <c r="C46" s="66" t="s">
        <v>15</v>
      </c>
      <c r="D46" s="64"/>
      <c r="E46" s="65"/>
      <c r="F46" s="67"/>
      <c r="G46" s="70"/>
      <c r="H46" s="97">
        <f>SUM(H43:H45)</f>
        <v>278.64</v>
      </c>
      <c r="I46" s="98"/>
      <c r="J46" s="101">
        <f ca="1">SUM(J43:J45)</f>
        <v>430.40612245164812</v>
      </c>
      <c r="K46" s="100"/>
      <c r="M46" s="322"/>
      <c r="N46" s="2"/>
    </row>
    <row r="47" spans="1:18" s="39" customFormat="1" ht="16.5" thickTop="1" thickBot="1" x14ac:dyDescent="0.3">
      <c r="A47" s="188"/>
      <c r="B47" s="189"/>
      <c r="C47" s="105" t="s">
        <v>19</v>
      </c>
      <c r="D47" s="106"/>
      <c r="E47" s="107"/>
      <c r="F47" s="108"/>
      <c r="G47" s="100"/>
      <c r="H47" s="109">
        <f>H46-H41-F19</f>
        <v>224.64</v>
      </c>
      <c r="I47" s="110"/>
      <c r="J47" s="113">
        <f ca="1">J46-J41-F19</f>
        <v>202.75071428837254</v>
      </c>
      <c r="K47" s="100"/>
    </row>
    <row r="48" spans="1:18" s="2" customFormat="1" x14ac:dyDescent="0.2">
      <c r="A48" s="156"/>
      <c r="B48"/>
      <c r="C48" s="30"/>
      <c r="D48" s="14"/>
      <c r="H48" s="31"/>
      <c r="I48" s="31"/>
      <c r="J48" s="31"/>
      <c r="K48" s="12"/>
      <c r="M48" s="166"/>
    </row>
    <row r="49" spans="1:14" ht="14.25" x14ac:dyDescent="0.2">
      <c r="C49" s="16"/>
      <c r="D49" s="16"/>
      <c r="H49" s="30"/>
      <c r="I49" s="30"/>
      <c r="J49" s="30"/>
      <c r="K49" s="30"/>
      <c r="M49" s="166"/>
      <c r="N49" s="2"/>
    </row>
    <row r="50" spans="1:14" ht="14.25" x14ac:dyDescent="0.2">
      <c r="C50" s="16"/>
      <c r="D50" s="16"/>
      <c r="H50" s="200"/>
      <c r="I50" s="200"/>
      <c r="J50" s="200"/>
      <c r="M50" s="166"/>
      <c r="N50" s="2"/>
    </row>
    <row r="51" spans="1:14" ht="14.25" x14ac:dyDescent="0.2">
      <c r="C51" s="16"/>
      <c r="D51" s="16"/>
      <c r="M51" s="166"/>
      <c r="N51" s="2"/>
    </row>
    <row r="52" spans="1:14" s="201" customFormat="1" ht="14.25" x14ac:dyDescent="0.2">
      <c r="A52" s="156"/>
      <c r="C52" s="202"/>
      <c r="D52" s="202"/>
      <c r="E52" s="203"/>
      <c r="F52" s="203"/>
      <c r="G52" s="203"/>
      <c r="H52" s="203"/>
      <c r="I52" s="203"/>
      <c r="J52" s="203"/>
      <c r="M52" s="204"/>
      <c r="N52" s="205"/>
    </row>
    <row r="53" spans="1:14" x14ac:dyDescent="0.2">
      <c r="M53" s="166"/>
      <c r="N53" s="2"/>
    </row>
    <row r="54" spans="1:14" x14ac:dyDescent="0.2">
      <c r="M54" s="166"/>
      <c r="N54" s="2"/>
    </row>
    <row r="55" spans="1:14" x14ac:dyDescent="0.2">
      <c r="M55" s="166"/>
      <c r="N55" s="2"/>
    </row>
    <row r="56" spans="1:14" x14ac:dyDescent="0.2">
      <c r="M56" s="166"/>
      <c r="N56" s="2"/>
    </row>
    <row r="57" spans="1:14" x14ac:dyDescent="0.2">
      <c r="M57" s="166"/>
      <c r="N57" s="2"/>
    </row>
    <row r="58" spans="1:14" x14ac:dyDescent="0.2">
      <c r="M58" s="166"/>
      <c r="N58" s="2"/>
    </row>
    <row r="59" spans="1:14" x14ac:dyDescent="0.2">
      <c r="M59" s="166"/>
      <c r="N59" s="2"/>
    </row>
    <row r="60" spans="1:14" x14ac:dyDescent="0.2">
      <c r="M60" s="166"/>
      <c r="N60" s="2"/>
    </row>
    <row r="61" spans="1:14" x14ac:dyDescent="0.2">
      <c r="M61" s="166"/>
      <c r="N61" s="2"/>
    </row>
    <row r="62" spans="1:14" x14ac:dyDescent="0.2">
      <c r="M62" s="166"/>
      <c r="N62" s="2"/>
    </row>
    <row r="63" spans="1:14" x14ac:dyDescent="0.2">
      <c r="B63" s="13"/>
      <c r="M63" s="166"/>
      <c r="N63" s="2"/>
    </row>
    <row r="64" spans="1:14" s="206" customFormat="1" x14ac:dyDescent="0.2">
      <c r="A64" s="156"/>
      <c r="B64"/>
      <c r="M64" s="207"/>
    </row>
    <row r="65" spans="1:50" s="1" customFormat="1" x14ac:dyDescent="0.2">
      <c r="A65" s="156"/>
      <c r="B65"/>
      <c r="M65" s="166"/>
      <c r="N65" s="2"/>
    </row>
    <row r="66" spans="1:50" s="1" customFormat="1" x14ac:dyDescent="0.2">
      <c r="A66" s="176"/>
      <c r="C66" s="34"/>
      <c r="D66" s="34"/>
      <c r="M66" s="166"/>
      <c r="N66" s="2"/>
      <c r="O66"/>
      <c r="Y66"/>
      <c r="Z66"/>
      <c r="AA66"/>
      <c r="AB66"/>
      <c r="AC66"/>
      <c r="AD66"/>
    </row>
    <row r="67" spans="1:50" s="1" customFormat="1" ht="14.25" x14ac:dyDescent="0.2">
      <c r="A67" s="176"/>
      <c r="C67" s="35"/>
      <c r="D67" s="35"/>
      <c r="M67" s="166"/>
      <c r="N67" s="2"/>
      <c r="O67"/>
      <c r="P67"/>
      <c r="Q67"/>
      <c r="R67"/>
      <c r="S67"/>
      <c r="T67"/>
      <c r="U67"/>
      <c r="V67"/>
      <c r="X67"/>
      <c r="Y67"/>
      <c r="Z67"/>
      <c r="AA67"/>
      <c r="AB67"/>
      <c r="AC67" s="18"/>
      <c r="AD67" s="208"/>
      <c r="AE67" s="208"/>
      <c r="AF67" s="18"/>
    </row>
    <row r="68" spans="1:50" s="36" customFormat="1" x14ac:dyDescent="0.2">
      <c r="A68" s="149"/>
      <c r="C68" s="410"/>
      <c r="D68" s="410"/>
      <c r="E68" s="130"/>
      <c r="J68" s="209"/>
      <c r="M68" s="166"/>
      <c r="N68" s="2"/>
      <c r="O68"/>
      <c r="P68"/>
      <c r="Q68"/>
      <c r="R68"/>
      <c r="S68"/>
      <c r="T68"/>
      <c r="U68"/>
      <c r="V68"/>
      <c r="X68"/>
      <c r="Y68"/>
      <c r="Z68"/>
      <c r="AA68"/>
      <c r="AC68" s="155"/>
      <c r="AD68" s="208"/>
      <c r="AE68" s="208"/>
      <c r="AF68" s="155"/>
      <c r="AM68"/>
    </row>
    <row r="69" spans="1:50" x14ac:dyDescent="0.2">
      <c r="M69" s="166"/>
      <c r="N69" s="2"/>
      <c r="T69" s="36"/>
      <c r="AC69" s="155"/>
      <c r="AD69" s="208"/>
      <c r="AE69" s="208"/>
      <c r="AF69" s="155"/>
    </row>
    <row r="70" spans="1:50" x14ac:dyDescent="0.2">
      <c r="M70" s="166"/>
      <c r="N70" s="2"/>
      <c r="Q70" s="210"/>
      <c r="T70" s="36"/>
      <c r="AC70" s="155"/>
      <c r="AD70" s="208"/>
      <c r="AE70" s="208"/>
      <c r="AF70" s="155"/>
      <c r="AM70" s="211"/>
    </row>
    <row r="71" spans="1:50" x14ac:dyDescent="0.2">
      <c r="M71" s="166"/>
      <c r="N71" s="2"/>
      <c r="Q71" s="210"/>
      <c r="AB71" s="212"/>
      <c r="AC71" s="212"/>
      <c r="AD71" s="119"/>
      <c r="AE71" s="119"/>
      <c r="AF71" s="212"/>
      <c r="AG71" s="212"/>
      <c r="AJ71" s="211"/>
    </row>
    <row r="72" spans="1:50" x14ac:dyDescent="0.2">
      <c r="C72" s="213"/>
      <c r="D72" s="213"/>
      <c r="E72" s="214"/>
      <c r="F72" s="214"/>
      <c r="G72" s="214"/>
      <c r="H72" s="214"/>
      <c r="I72" s="214"/>
      <c r="J72" s="214"/>
      <c r="M72" s="166"/>
      <c r="N72" s="2"/>
      <c r="P72" s="30"/>
      <c r="Q72" s="30"/>
      <c r="R72" s="30"/>
      <c r="S72" s="30"/>
      <c r="T72" s="30"/>
      <c r="U72" s="30"/>
      <c r="V72" s="30"/>
      <c r="W72" s="30"/>
      <c r="X72" s="30"/>
      <c r="AB72" s="215"/>
      <c r="AC72" s="212"/>
      <c r="AD72" s="212"/>
      <c r="AE72" s="212"/>
      <c r="AF72" s="212"/>
      <c r="AG72" s="212"/>
    </row>
    <row r="73" spans="1:50" ht="12.75" customHeight="1" x14ac:dyDescent="0.2">
      <c r="M73" s="166"/>
      <c r="N73" s="2"/>
      <c r="Q73" s="210"/>
      <c r="AB73" s="212"/>
      <c r="AC73" s="212"/>
      <c r="AF73" s="212"/>
      <c r="AG73" s="212"/>
    </row>
    <row r="74" spans="1:50" x14ac:dyDescent="0.2">
      <c r="M74" s="166"/>
      <c r="N74" s="2"/>
      <c r="P74" s="1"/>
      <c r="Q74" s="216"/>
      <c r="R74" s="216"/>
      <c r="X74" s="1"/>
      <c r="Y74" s="216"/>
      <c r="Z74" s="216"/>
      <c r="AB74" s="212"/>
      <c r="AC74" s="212"/>
      <c r="AF74" s="212"/>
      <c r="AG74" s="212"/>
      <c r="AJ74" s="212"/>
    </row>
    <row r="75" spans="1:50" ht="12.75" customHeight="1" x14ac:dyDescent="0.2">
      <c r="M75" s="166"/>
      <c r="N75" s="2"/>
      <c r="Q75" s="210"/>
      <c r="AB75" s="212"/>
      <c r="AC75" s="212"/>
      <c r="AD75" s="217"/>
      <c r="AF75" s="212"/>
      <c r="AG75" s="212"/>
    </row>
    <row r="76" spans="1:50" x14ac:dyDescent="0.2">
      <c r="M76" s="166"/>
      <c r="N76" s="2"/>
      <c r="Q76" s="210"/>
      <c r="T76" s="218"/>
      <c r="AB76" s="212"/>
      <c r="AC76" s="212"/>
      <c r="AD76" s="219"/>
      <c r="AE76" s="212"/>
      <c r="AF76" s="212"/>
      <c r="AG76" s="212"/>
    </row>
    <row r="77" spans="1:50" ht="14.25" x14ac:dyDescent="0.2">
      <c r="C77" s="1"/>
      <c r="D77" s="16"/>
      <c r="F77" s="30" t="s">
        <v>151</v>
      </c>
      <c r="G77" s="220" t="str">
        <f>VLOOKUP(D5,RMAData!A3:D117,2)</f>
        <v>Central and North MO</v>
      </c>
      <c r="I77" s="30"/>
      <c r="J77" s="30"/>
      <c r="K77" s="30"/>
      <c r="M77" s="166"/>
      <c r="N77" s="2"/>
      <c r="Q77" s="220"/>
      <c r="AC77" s="155"/>
      <c r="AD77" s="212"/>
      <c r="AE77" s="221"/>
      <c r="AF77" s="155"/>
    </row>
    <row r="78" spans="1:50" s="4" customFormat="1" ht="14.25" x14ac:dyDescent="0.2">
      <c r="A78" s="176"/>
      <c r="B78" s="1"/>
      <c r="D78" s="16"/>
      <c r="E78"/>
      <c r="F78" s="42"/>
      <c r="G78"/>
      <c r="H78" s="189"/>
      <c r="I78" s="189"/>
      <c r="J78" s="189"/>
      <c r="K78"/>
      <c r="L78"/>
      <c r="M78" s="166"/>
      <c r="N78" s="2"/>
      <c r="O78"/>
      <c r="P78"/>
      <c r="Q78"/>
      <c r="R78"/>
      <c r="S78"/>
      <c r="T78"/>
      <c r="U78"/>
      <c r="V78"/>
      <c r="X78"/>
      <c r="Y78"/>
      <c r="Z78"/>
      <c r="AA78"/>
      <c r="AB78"/>
      <c r="AC78"/>
      <c r="AD78"/>
      <c r="AI78"/>
      <c r="AJ78"/>
      <c r="AK78"/>
      <c r="AL78"/>
      <c r="AM78"/>
    </row>
    <row r="79" spans="1:50" s="4" customFormat="1" ht="12.75" customHeight="1" x14ac:dyDescent="0.2">
      <c r="A79" s="222"/>
      <c r="D79" s="16"/>
      <c r="E79"/>
      <c r="F79" s="296" t="s">
        <v>219</v>
      </c>
      <c r="G79"/>
      <c r="H79" s="30" t="s">
        <v>194</v>
      </c>
      <c r="I79" s="189"/>
      <c r="J79" s="189"/>
      <c r="K79"/>
      <c r="L79"/>
      <c r="M79" s="166"/>
      <c r="N79" s="2"/>
      <c r="O79"/>
      <c r="P79"/>
      <c r="Q79"/>
      <c r="R79"/>
      <c r="S79"/>
      <c r="T79"/>
      <c r="U79"/>
      <c r="V79"/>
      <c r="X79"/>
      <c r="Y79"/>
      <c r="Z79"/>
      <c r="AA79"/>
      <c r="AB79"/>
      <c r="AC79"/>
      <c r="AD79" s="1" t="s">
        <v>153</v>
      </c>
      <c r="AG79" s="1" t="s">
        <v>154</v>
      </c>
      <c r="AI79"/>
      <c r="AJ79"/>
      <c r="AK79"/>
      <c r="AL79"/>
      <c r="AM79"/>
      <c r="AP79" s="1"/>
      <c r="AQ79" s="1"/>
      <c r="AR79" s="1"/>
      <c r="AS79" s="1"/>
      <c r="AT79" s="1"/>
      <c r="AU79" s="1"/>
      <c r="AV79" s="1"/>
      <c r="AW79" s="1"/>
      <c r="AX79" s="1"/>
    </row>
    <row r="80" spans="1:50" s="4" customFormat="1" ht="14.25" x14ac:dyDescent="0.2">
      <c r="A80" s="222"/>
      <c r="D80" s="16"/>
      <c r="E80"/>
      <c r="F80" s="223" t="s">
        <v>26</v>
      </c>
      <c r="G80"/>
      <c r="H80" s="189"/>
      <c r="I80" s="189"/>
      <c r="J80" s="200">
        <f ca="1">MAX(0,(J26-J15)*J11)</f>
        <v>0</v>
      </c>
      <c r="K80"/>
      <c r="L80"/>
      <c r="M80" s="39"/>
      <c r="N80" s="2"/>
      <c r="O80"/>
      <c r="P80" s="6"/>
      <c r="Q80" s="155"/>
      <c r="R80" s="155"/>
      <c r="S80"/>
      <c r="T80"/>
      <c r="U80"/>
      <c r="V80"/>
      <c r="X80" s="220"/>
      <c r="Y80" s="155"/>
      <c r="Z80" s="155"/>
      <c r="AA80"/>
      <c r="AB80"/>
      <c r="AC80"/>
      <c r="AD80" s="171">
        <v>1</v>
      </c>
      <c r="AG80" s="224">
        <v>0.85</v>
      </c>
      <c r="AI80"/>
      <c r="AJ80"/>
      <c r="AK80"/>
      <c r="AL80"/>
      <c r="AM80"/>
      <c r="AP80" s="189"/>
      <c r="AQ80" s="220"/>
      <c r="AR80" s="189"/>
      <c r="AS80" s="220"/>
      <c r="AT80" s="189"/>
      <c r="AU80"/>
      <c r="AV80"/>
      <c r="AW80"/>
      <c r="AX80"/>
    </row>
    <row r="81" spans="1:50" s="4" customFormat="1" ht="14.25" x14ac:dyDescent="0.2">
      <c r="A81" s="222"/>
      <c r="D81" s="16"/>
      <c r="E81"/>
      <c r="F81" s="223" t="s">
        <v>150</v>
      </c>
      <c r="G81"/>
      <c r="H81" s="189"/>
      <c r="I81" s="189"/>
      <c r="J81" s="189">
        <f ca="1">MAX(0,(J26*MAX(F11,MIN(F11*2,$F$10))-J15*$F$10))</f>
        <v>0</v>
      </c>
      <c r="K81"/>
      <c r="L81"/>
      <c r="M81" s="39"/>
      <c r="N81" s="2"/>
      <c r="O81"/>
      <c r="P81" s="6"/>
      <c r="Q81" s="155"/>
      <c r="R81" s="155"/>
      <c r="S81"/>
      <c r="T81"/>
      <c r="U81"/>
      <c r="V81"/>
      <c r="X81" s="220"/>
      <c r="Y81" s="155"/>
      <c r="Z81" s="155"/>
      <c r="AA81"/>
      <c r="AB81"/>
      <c r="AC81"/>
      <c r="AD81" s="171">
        <v>0.99</v>
      </c>
      <c r="AG81" s="224">
        <v>0.8</v>
      </c>
      <c r="AI81"/>
      <c r="AJ81"/>
      <c r="AK81"/>
      <c r="AL81"/>
      <c r="AM81"/>
      <c r="AP81" s="189"/>
      <c r="AQ81" s="220"/>
      <c r="AR81"/>
      <c r="AS81" s="220"/>
      <c r="AT81"/>
      <c r="AU81"/>
      <c r="AV81"/>
      <c r="AW81"/>
      <c r="AX81"/>
    </row>
    <row r="82" spans="1:50" s="4" customFormat="1" ht="14.25" x14ac:dyDescent="0.2">
      <c r="A82" s="222"/>
      <c r="D82" s="16"/>
      <c r="E82"/>
      <c r="F82" s="223" t="s">
        <v>229</v>
      </c>
      <c r="G82"/>
      <c r="H82" s="200"/>
      <c r="I82" s="200"/>
      <c r="J82" s="200"/>
      <c r="K82"/>
      <c r="L82"/>
      <c r="M82" s="39"/>
      <c r="N82" s="2"/>
      <c r="O82"/>
      <c r="P82" s="6"/>
      <c r="Q82" s="155"/>
      <c r="R82" s="155"/>
      <c r="S82"/>
      <c r="T82"/>
      <c r="U82"/>
      <c r="V82"/>
      <c r="X82" s="220"/>
      <c r="Y82" s="155"/>
      <c r="Z82" s="155"/>
      <c r="AA82"/>
      <c r="AB82"/>
      <c r="AC82"/>
      <c r="AD82" s="171">
        <v>0.98</v>
      </c>
      <c r="AG82" s="224">
        <v>0.75</v>
      </c>
      <c r="AI82"/>
      <c r="AJ82"/>
      <c r="AK82"/>
      <c r="AL82"/>
      <c r="AM82"/>
      <c r="AP82" s="189"/>
      <c r="AQ82" s="220"/>
      <c r="AR82"/>
      <c r="AS82" s="220"/>
      <c r="AT82"/>
      <c r="AU82"/>
      <c r="AV82"/>
      <c r="AW82"/>
      <c r="AX82"/>
    </row>
    <row r="83" spans="1:50" s="4" customFormat="1" x14ac:dyDescent="0.2">
      <c r="A83" s="222"/>
      <c r="C83"/>
      <c r="D83"/>
      <c r="E83"/>
      <c r="F83"/>
      <c r="G83"/>
      <c r="H83"/>
      <c r="I83"/>
      <c r="J83"/>
      <c r="K83"/>
      <c r="L83"/>
      <c r="M83" s="166"/>
      <c r="N83" s="2"/>
      <c r="O83"/>
      <c r="P83" s="6"/>
      <c r="Q83" s="155"/>
      <c r="R83" s="155"/>
      <c r="S83"/>
      <c r="T83"/>
      <c r="U83"/>
      <c r="V83"/>
      <c r="X83" s="220"/>
      <c r="Y83" s="155"/>
      <c r="Z83" s="155"/>
      <c r="AA83"/>
      <c r="AB83"/>
      <c r="AC83"/>
      <c r="AD83" s="171">
        <v>0.97</v>
      </c>
      <c r="AG83" s="224">
        <v>0.7</v>
      </c>
      <c r="AI83"/>
      <c r="AJ83"/>
      <c r="AK83"/>
      <c r="AL83"/>
      <c r="AM83"/>
      <c r="AP83" s="189"/>
      <c r="AQ83" s="220"/>
      <c r="AR83"/>
      <c r="AS83" s="220"/>
      <c r="AT83"/>
      <c r="AU83"/>
      <c r="AV83"/>
      <c r="AW83"/>
      <c r="AX83"/>
    </row>
    <row r="84" spans="1:50" s="4" customFormat="1" x14ac:dyDescent="0.2">
      <c r="A84" s="222"/>
      <c r="C84"/>
      <c r="D84"/>
      <c r="F84" s="1" t="s">
        <v>232</v>
      </c>
      <c r="H84" s="17"/>
      <c r="M84" s="166"/>
      <c r="N84" s="2"/>
      <c r="O84"/>
      <c r="P84" s="6"/>
      <c r="Q84" s="155"/>
      <c r="R84" s="155"/>
      <c r="S84"/>
      <c r="T84"/>
      <c r="U84"/>
      <c r="V84"/>
      <c r="X84" s="220"/>
      <c r="Y84" s="155"/>
      <c r="Z84" s="155"/>
      <c r="AA84"/>
      <c r="AB84"/>
      <c r="AC84"/>
      <c r="AD84" s="171">
        <v>0.96</v>
      </c>
      <c r="AG84" s="224">
        <v>0.65</v>
      </c>
      <c r="AI84"/>
      <c r="AJ84"/>
      <c r="AK84"/>
      <c r="AL84"/>
      <c r="AM84"/>
      <c r="AP84" s="189"/>
      <c r="AQ84" s="220"/>
      <c r="AR84"/>
      <c r="AS84" s="220"/>
      <c r="AT84"/>
      <c r="AU84"/>
      <c r="AV84"/>
      <c r="AW84"/>
      <c r="AX84"/>
    </row>
    <row r="85" spans="1:50" s="4" customFormat="1" x14ac:dyDescent="0.2">
      <c r="A85" s="222"/>
      <c r="C85"/>
      <c r="D85"/>
      <c r="E85" s="14"/>
      <c r="F85" s="1" t="s">
        <v>233</v>
      </c>
      <c r="H85" s="323">
        <v>20</v>
      </c>
      <c r="I85" s="1"/>
      <c r="J85" s="1"/>
      <c r="K85" s="1"/>
      <c r="L85" s="1"/>
      <c r="M85" s="166"/>
      <c r="N85" s="2"/>
      <c r="O85"/>
      <c r="P85" s="6"/>
      <c r="Q85" s="155"/>
      <c r="R85" s="155"/>
      <c r="S85"/>
      <c r="T85"/>
      <c r="U85"/>
      <c r="V85"/>
      <c r="X85" s="220"/>
      <c r="Y85" s="155"/>
      <c r="Z85" s="155"/>
      <c r="AA85"/>
      <c r="AB85"/>
      <c r="AC85"/>
      <c r="AD85" s="171">
        <v>0.95</v>
      </c>
      <c r="AG85" s="224">
        <v>0.6</v>
      </c>
      <c r="AI85"/>
      <c r="AJ85"/>
      <c r="AK85"/>
      <c r="AL85"/>
      <c r="AM85"/>
      <c r="AP85" s="189"/>
      <c r="AQ85" s="220"/>
      <c r="AR85"/>
      <c r="AS85" s="220"/>
      <c r="AT85"/>
      <c r="AU85"/>
      <c r="AV85"/>
      <c r="AW85"/>
      <c r="AX85"/>
    </row>
    <row r="86" spans="1:50" s="4" customFormat="1" x14ac:dyDescent="0.2">
      <c r="A86" s="222"/>
      <c r="C86" s="226"/>
      <c r="D86" s="227"/>
      <c r="E86" s="226"/>
      <c r="F86" s="1" t="s">
        <v>234</v>
      </c>
      <c r="H86" s="323">
        <v>25</v>
      </c>
      <c r="I86" s="5"/>
      <c r="J86" s="46"/>
      <c r="K86" s="5"/>
      <c r="M86" s="166"/>
      <c r="N86" s="2"/>
      <c r="O86"/>
      <c r="P86" s="6"/>
      <c r="Q86" s="155"/>
      <c r="R86" s="155"/>
      <c r="S86"/>
      <c r="T86"/>
      <c r="U86"/>
      <c r="V86"/>
      <c r="X86" s="220"/>
      <c r="Y86" s="155"/>
      <c r="Z86" s="155"/>
      <c r="AA86"/>
      <c r="AB86"/>
      <c r="AC86"/>
      <c r="AD86" s="171">
        <v>0.94</v>
      </c>
      <c r="AG86" s="224">
        <v>0.55000000000000004</v>
      </c>
      <c r="AI86"/>
      <c r="AJ86"/>
      <c r="AK86"/>
      <c r="AL86"/>
      <c r="AM86"/>
      <c r="AP86" s="189"/>
      <c r="AQ86" s="220"/>
      <c r="AS86" s="220"/>
      <c r="AU86"/>
      <c r="AV86"/>
      <c r="AW86"/>
      <c r="AX86"/>
    </row>
    <row r="87" spans="1:50" s="4" customFormat="1" x14ac:dyDescent="0.2">
      <c r="A87" s="222"/>
      <c r="C87" s="226"/>
      <c r="D87" s="227"/>
      <c r="E87" s="226"/>
      <c r="F87" s="1" t="s">
        <v>209</v>
      </c>
      <c r="H87" s="324">
        <v>10</v>
      </c>
      <c r="I87" s="5"/>
      <c r="J87" s="46"/>
      <c r="K87" s="5"/>
      <c r="M87" s="166"/>
      <c r="N87" s="2"/>
      <c r="O87"/>
      <c r="P87" s="6"/>
      <c r="Q87" s="155"/>
      <c r="R87" s="155"/>
      <c r="S87"/>
      <c r="T87"/>
      <c r="U87"/>
      <c r="V87"/>
      <c r="X87" s="220"/>
      <c r="Y87" s="155"/>
      <c r="Z87" s="155"/>
      <c r="AA87"/>
      <c r="AB87"/>
      <c r="AC87"/>
      <c r="AD87" s="171">
        <v>0.93</v>
      </c>
      <c r="AG87" s="224">
        <v>0.5</v>
      </c>
      <c r="AJ87" s="228"/>
      <c r="AK87" s="229"/>
      <c r="AL87" s="230"/>
      <c r="AM87" s="1"/>
      <c r="AP87" s="189"/>
      <c r="AQ87" s="220"/>
      <c r="AS87" s="220"/>
      <c r="AU87"/>
      <c r="AV87"/>
      <c r="AW87"/>
      <c r="AX87"/>
    </row>
    <row r="88" spans="1:50" s="4" customFormat="1" x14ac:dyDescent="0.2">
      <c r="A88" s="222"/>
      <c r="D88" s="227"/>
      <c r="E88" s="226"/>
      <c r="F88" s="226"/>
      <c r="H88" s="5"/>
      <c r="I88" s="5"/>
      <c r="J88" s="46"/>
      <c r="K88" s="5"/>
      <c r="M88" s="166"/>
      <c r="N88" s="2"/>
      <c r="O88"/>
      <c r="P88" s="6"/>
      <c r="Q88" s="155"/>
      <c r="R88" s="155"/>
      <c r="S88"/>
      <c r="T88"/>
      <c r="U88"/>
      <c r="V88"/>
      <c r="X88" s="220"/>
      <c r="Y88" s="155"/>
      <c r="Z88" s="155"/>
      <c r="AA88"/>
      <c r="AB88"/>
      <c r="AC88"/>
      <c r="AD88" s="171">
        <v>0.92</v>
      </c>
      <c r="AG88" s="224"/>
      <c r="AJ88" s="228"/>
      <c r="AK88" s="229"/>
      <c r="AL88" s="230"/>
      <c r="AM88" s="1"/>
      <c r="AP88" s="189"/>
      <c r="AQ88" s="220"/>
      <c r="AS88" s="220"/>
      <c r="AU88"/>
      <c r="AV88"/>
      <c r="AW88"/>
      <c r="AX88"/>
    </row>
    <row r="89" spans="1:50" s="4" customFormat="1" ht="14.25" x14ac:dyDescent="0.2">
      <c r="A89" s="222"/>
      <c r="D89" s="16"/>
      <c r="E89"/>
      <c r="F89" s="1"/>
      <c r="G89"/>
      <c r="H89"/>
      <c r="I89"/>
      <c r="J89"/>
      <c r="K89"/>
      <c r="M89" s="166"/>
      <c r="N89" s="2"/>
      <c r="O89"/>
      <c r="P89" s="6"/>
      <c r="Q89" s="155"/>
      <c r="R89" s="155"/>
      <c r="S89"/>
      <c r="T89"/>
      <c r="U89"/>
      <c r="V89"/>
      <c r="X89" s="220"/>
      <c r="Y89" s="155"/>
      <c r="Z89" s="155"/>
      <c r="AA89"/>
      <c r="AB89"/>
      <c r="AC89"/>
      <c r="AD89" s="171">
        <v>0.91</v>
      </c>
      <c r="AG89" s="224"/>
      <c r="AJ89" s="1"/>
      <c r="AK89"/>
      <c r="AL89"/>
      <c r="AM89" s="1"/>
      <c r="AP89" s="189"/>
      <c r="AQ89" s="220"/>
      <c r="AS89" s="220"/>
      <c r="AU89"/>
      <c r="AV89"/>
      <c r="AW89"/>
      <c r="AX89"/>
    </row>
    <row r="90" spans="1:50" s="4" customFormat="1" ht="14.25" x14ac:dyDescent="0.2">
      <c r="A90" s="222"/>
      <c r="D90" s="16"/>
      <c r="E90"/>
      <c r="F90" s="1"/>
      <c r="G90"/>
      <c r="H90"/>
      <c r="I90"/>
      <c r="J90"/>
      <c r="K90"/>
      <c r="M90" s="166"/>
      <c r="N90" s="2"/>
      <c r="O90"/>
      <c r="P90" s="6"/>
      <c r="Q90" s="155"/>
      <c r="R90" s="155"/>
      <c r="S90"/>
      <c r="T90"/>
      <c r="U90"/>
      <c r="V90"/>
      <c r="X90" s="220"/>
      <c r="Y90" s="155"/>
      <c r="Z90" s="155"/>
      <c r="AA90"/>
      <c r="AB90"/>
      <c r="AC90"/>
      <c r="AD90" s="171">
        <v>0.9</v>
      </c>
      <c r="AP90" s="189"/>
      <c r="AQ90" s="220"/>
      <c r="AS90" s="220"/>
      <c r="AU90"/>
      <c r="AV90"/>
      <c r="AW90"/>
      <c r="AX90"/>
    </row>
    <row r="91" spans="1:50" s="4" customFormat="1" x14ac:dyDescent="0.2">
      <c r="A91" s="222"/>
      <c r="G91"/>
      <c r="H91" s="26"/>
      <c r="I91" s="26"/>
      <c r="J91" s="120"/>
      <c r="K91"/>
      <c r="M91" s="166"/>
      <c r="N91" s="2"/>
      <c r="O91"/>
      <c r="P91" s="6"/>
      <c r="Q91" s="155"/>
      <c r="R91" s="155"/>
      <c r="S91"/>
      <c r="T91"/>
      <c r="U91"/>
      <c r="V91"/>
      <c r="X91" s="220"/>
      <c r="Y91" s="155"/>
      <c r="Z91" s="155"/>
      <c r="AA91"/>
      <c r="AB91"/>
      <c r="AC91"/>
      <c r="AD91" s="171">
        <v>0.89</v>
      </c>
      <c r="AP91" s="189"/>
      <c r="AQ91" s="220"/>
      <c r="AS91" s="220"/>
      <c r="AU91"/>
      <c r="AV91"/>
      <c r="AW91"/>
      <c r="AX91"/>
    </row>
    <row r="92" spans="1:50" s="4" customFormat="1" x14ac:dyDescent="0.2">
      <c r="A92" s="222"/>
      <c r="F92" s="1"/>
      <c r="G92"/>
      <c r="H92"/>
      <c r="I92"/>
      <c r="J92"/>
      <c r="K92"/>
      <c r="M92" s="166"/>
      <c r="N92" s="2"/>
      <c r="O92"/>
      <c r="P92" s="6"/>
      <c r="Q92" s="155"/>
      <c r="R92" s="155"/>
      <c r="S92"/>
      <c r="T92"/>
      <c r="U92"/>
      <c r="V92"/>
      <c r="X92" s="220"/>
      <c r="Y92" s="155"/>
      <c r="Z92" s="155"/>
      <c r="AA92"/>
      <c r="AB92"/>
      <c r="AC92"/>
      <c r="AD92" s="171">
        <v>0.88</v>
      </c>
      <c r="AG92" s="246" t="s">
        <v>176</v>
      </c>
      <c r="AP92" s="189"/>
      <c r="AQ92" s="220"/>
      <c r="AS92" s="220"/>
      <c r="AU92"/>
      <c r="AV92"/>
      <c r="AW92"/>
      <c r="AX92"/>
    </row>
    <row r="93" spans="1:50" s="4" customFormat="1" x14ac:dyDescent="0.2">
      <c r="A93" s="222"/>
      <c r="F93" s="1"/>
      <c r="H93" s="281"/>
      <c r="I93" s="5"/>
      <c r="J93" s="46"/>
      <c r="K93" s="5"/>
      <c r="M93" s="166"/>
      <c r="N93" s="2"/>
      <c r="O93"/>
      <c r="P93" s="6"/>
      <c r="Q93" s="155"/>
      <c r="R93" s="155"/>
      <c r="S93"/>
      <c r="T93"/>
      <c r="U93"/>
      <c r="V93"/>
      <c r="X93" s="220"/>
      <c r="Y93" s="155"/>
      <c r="Z93" s="155"/>
      <c r="AA93"/>
      <c r="AB93"/>
      <c r="AC93"/>
      <c r="AD93" s="171">
        <v>0.87</v>
      </c>
      <c r="AG93" s="246" t="s">
        <v>0</v>
      </c>
      <c r="AN93" s="1"/>
      <c r="AP93" s="189"/>
      <c r="AQ93" s="220"/>
      <c r="AS93" s="220"/>
      <c r="AU93"/>
      <c r="AV93"/>
      <c r="AW93"/>
      <c r="AX93"/>
    </row>
    <row r="94" spans="1:50" s="4" customFormat="1" x14ac:dyDescent="0.2">
      <c r="A94" s="222"/>
      <c r="H94" s="5"/>
      <c r="I94" s="5"/>
      <c r="J94" s="46"/>
      <c r="K94" s="5"/>
      <c r="M94" s="166"/>
      <c r="N94" s="2"/>
      <c r="O94"/>
      <c r="P94" s="6"/>
      <c r="Q94" s="155"/>
      <c r="R94" s="155"/>
      <c r="S94"/>
      <c r="T94"/>
      <c r="U94"/>
      <c r="V94"/>
      <c r="X94" s="220"/>
      <c r="Y94" s="155"/>
      <c r="Z94" s="155"/>
      <c r="AA94"/>
      <c r="AB94"/>
      <c r="AC94"/>
      <c r="AD94" s="171">
        <v>0.86</v>
      </c>
      <c r="AG94" s="224">
        <v>0.55000000000000004</v>
      </c>
      <c r="AP94" s="189"/>
      <c r="AQ94" s="220"/>
      <c r="AS94" s="220"/>
      <c r="AU94"/>
      <c r="AV94"/>
      <c r="AW94"/>
      <c r="AX94"/>
    </row>
    <row r="95" spans="1:50" s="4" customFormat="1" x14ac:dyDescent="0.2">
      <c r="A95" s="222"/>
      <c r="H95" s="5"/>
      <c r="I95" s="5"/>
      <c r="J95" s="46"/>
      <c r="K95" s="5"/>
      <c r="M95" s="166"/>
      <c r="N95" s="2"/>
      <c r="O95"/>
      <c r="P95" s="6"/>
      <c r="Q95" s="155"/>
      <c r="R95" s="155"/>
      <c r="S95"/>
      <c r="T95"/>
      <c r="U95"/>
      <c r="V95"/>
      <c r="X95" s="220"/>
      <c r="Y95" s="155"/>
      <c r="Z95" s="155"/>
      <c r="AA95"/>
      <c r="AB95"/>
      <c r="AC95"/>
      <c r="AD95" s="171">
        <v>0.85</v>
      </c>
      <c r="AG95" s="224">
        <v>0.6</v>
      </c>
      <c r="AJ95" s="228"/>
      <c r="AK95" s="229"/>
      <c r="AL95" s="230"/>
      <c r="AM95" s="1"/>
      <c r="AP95" s="189"/>
      <c r="AQ95" s="220"/>
      <c r="AS95" s="220"/>
      <c r="AU95"/>
      <c r="AV95"/>
      <c r="AW95"/>
      <c r="AX95"/>
    </row>
    <row r="96" spans="1:50" s="4" customFormat="1" x14ac:dyDescent="0.2">
      <c r="A96" s="222"/>
      <c r="F96" s="1"/>
      <c r="H96" s="280"/>
      <c r="I96" s="5"/>
      <c r="J96" s="46"/>
      <c r="K96" s="5"/>
      <c r="M96" s="166"/>
      <c r="N96" s="2"/>
      <c r="O96"/>
      <c r="P96" s="6"/>
      <c r="Q96" s="155"/>
      <c r="R96" s="155"/>
      <c r="S96"/>
      <c r="T96"/>
      <c r="U96"/>
      <c r="V96"/>
      <c r="X96" s="220"/>
      <c r="Y96" s="155"/>
      <c r="Z96" s="155"/>
      <c r="AA96"/>
      <c r="AB96"/>
      <c r="AC96"/>
      <c r="AD96" s="171">
        <v>0.84</v>
      </c>
      <c r="AG96" s="246" t="s">
        <v>192</v>
      </c>
      <c r="AJ96" s="228"/>
      <c r="AK96" s="229"/>
      <c r="AL96" s="230"/>
      <c r="AM96" s="1"/>
      <c r="AP96" s="189"/>
      <c r="AQ96" s="220"/>
      <c r="AS96" s="220"/>
      <c r="AU96"/>
      <c r="AV96"/>
      <c r="AW96"/>
      <c r="AX96"/>
    </row>
    <row r="97" spans="1:50" s="4" customFormat="1" x14ac:dyDescent="0.2">
      <c r="A97" s="222"/>
      <c r="F97" s="1"/>
      <c r="H97" s="281"/>
      <c r="I97" s="5"/>
      <c r="J97" s="46"/>
      <c r="K97" s="5"/>
      <c r="M97" s="166"/>
      <c r="N97" s="30"/>
      <c r="O97"/>
      <c r="P97"/>
      <c r="Q97" s="1"/>
      <c r="R97"/>
      <c r="S97"/>
      <c r="T97"/>
      <c r="U97"/>
      <c r="V97"/>
      <c r="X97" s="220"/>
      <c r="Y97" s="155"/>
      <c r="Z97" s="155"/>
      <c r="AA97"/>
      <c r="AB97"/>
      <c r="AC97"/>
      <c r="AD97" s="171">
        <v>0.83</v>
      </c>
      <c r="AG97" s="224">
        <v>0.6</v>
      </c>
      <c r="AJ97" s="228"/>
      <c r="AK97" s="229"/>
      <c r="AL97" s="230"/>
      <c r="AM97" s="1"/>
      <c r="AP97" s="189"/>
      <c r="AQ97" s="220"/>
      <c r="AS97" s="220"/>
      <c r="AU97"/>
      <c r="AV97"/>
      <c r="AW97"/>
      <c r="AX97"/>
    </row>
    <row r="98" spans="1:50" s="4" customFormat="1" x14ac:dyDescent="0.2">
      <c r="A98" s="222"/>
      <c r="H98" s="17"/>
      <c r="I98" s="17"/>
      <c r="J98" s="17"/>
      <c r="M98" s="166"/>
      <c r="N98"/>
      <c r="O98" s="30"/>
      <c r="P98" s="30"/>
      <c r="Q98" s="1"/>
      <c r="R98"/>
      <c r="S98"/>
      <c r="T98"/>
      <c r="U98"/>
      <c r="V98"/>
      <c r="X98" s="220"/>
      <c r="Y98" s="155"/>
      <c r="Z98" s="155"/>
      <c r="AA98"/>
      <c r="AB98"/>
      <c r="AC98"/>
      <c r="AD98" s="171">
        <v>0.82</v>
      </c>
      <c r="AG98" s="224">
        <v>0.65</v>
      </c>
      <c r="AM98"/>
      <c r="AP98" s="189"/>
      <c r="AQ98" s="220"/>
      <c r="AS98" s="220"/>
      <c r="AU98"/>
      <c r="AV98"/>
      <c r="AW98"/>
      <c r="AX98"/>
    </row>
    <row r="99" spans="1:50" s="4" customFormat="1" x14ac:dyDescent="0.2">
      <c r="A99" s="222"/>
      <c r="I99" s="17"/>
      <c r="J99" s="17"/>
      <c r="M99" s="166"/>
      <c r="N99" s="1"/>
      <c r="Q99" s="1"/>
      <c r="R99"/>
      <c r="S99"/>
      <c r="T99"/>
      <c r="U99"/>
      <c r="V99"/>
      <c r="X99" s="220"/>
      <c r="Y99" s="155"/>
      <c r="Z99" s="155"/>
      <c r="AA99"/>
      <c r="AB99"/>
      <c r="AC99"/>
      <c r="AD99" s="171">
        <v>0.81</v>
      </c>
      <c r="AJ99"/>
      <c r="AK99"/>
      <c r="AL99"/>
      <c r="AM99"/>
      <c r="AP99" s="189"/>
      <c r="AQ99" s="220"/>
      <c r="AS99" s="220"/>
      <c r="AU99"/>
      <c r="AV99"/>
      <c r="AW99"/>
      <c r="AX99"/>
    </row>
    <row r="100" spans="1:50" s="4" customFormat="1" x14ac:dyDescent="0.2">
      <c r="A100" s="222"/>
      <c r="J100" s="17"/>
      <c r="M100" s="166"/>
      <c r="N100" s="228"/>
      <c r="R100"/>
      <c r="S100"/>
      <c r="T100"/>
      <c r="U100"/>
      <c r="V100"/>
      <c r="X100" s="220"/>
      <c r="Y100" s="155"/>
      <c r="Z100" s="155"/>
      <c r="AA100"/>
      <c r="AB100"/>
      <c r="AC100"/>
      <c r="AD100" s="171">
        <v>0.8</v>
      </c>
      <c r="AJ100" s="30"/>
      <c r="AK100" s="1"/>
      <c r="AL100"/>
      <c r="AM100"/>
      <c r="AP100" s="189"/>
      <c r="AQ100" s="220"/>
      <c r="AS100" s="220"/>
      <c r="AU100"/>
      <c r="AV100"/>
      <c r="AW100"/>
      <c r="AX100"/>
    </row>
    <row r="101" spans="1:50" s="4" customFormat="1" x14ac:dyDescent="0.2">
      <c r="A101" s="222"/>
      <c r="J101" s="17"/>
      <c r="M101" s="166"/>
      <c r="N101" s="1"/>
      <c r="O101" s="231"/>
      <c r="P101" s="231"/>
      <c r="Q101" s="1"/>
      <c r="R101"/>
      <c r="S101"/>
      <c r="T101"/>
      <c r="U101"/>
      <c r="V101"/>
      <c r="X101" s="220"/>
      <c r="Y101" s="155"/>
      <c r="Z101" s="155"/>
      <c r="AA101"/>
      <c r="AB101"/>
      <c r="AC101"/>
      <c r="AD101" s="171">
        <v>0.79</v>
      </c>
      <c r="AM101"/>
      <c r="AP101" s="189"/>
      <c r="AQ101" s="220"/>
      <c r="AS101" s="220"/>
      <c r="AU101"/>
      <c r="AV101"/>
      <c r="AW101"/>
      <c r="AX101"/>
    </row>
    <row r="102" spans="1:50" s="4" customFormat="1" x14ac:dyDescent="0.2">
      <c r="A102" s="222"/>
      <c r="J102" s="17"/>
      <c r="M102" s="166"/>
      <c r="N102" s="2"/>
      <c r="O102"/>
      <c r="P102" s="6"/>
      <c r="Q102"/>
      <c r="R102"/>
      <c r="S102"/>
      <c r="T102"/>
      <c r="U102"/>
      <c r="V102"/>
      <c r="X102" s="220"/>
      <c r="Y102" s="155"/>
      <c r="Z102" s="155"/>
      <c r="AA102"/>
      <c r="AB102"/>
      <c r="AC102"/>
      <c r="AD102" s="171">
        <v>0.78</v>
      </c>
      <c r="AN102"/>
      <c r="AO102"/>
      <c r="AP102" s="189"/>
      <c r="AQ102" s="220"/>
      <c r="AS102" s="220"/>
      <c r="AU102"/>
      <c r="AV102"/>
      <c r="AW102"/>
      <c r="AX102"/>
    </row>
    <row r="103" spans="1:50" s="4" customFormat="1" ht="14.25" x14ac:dyDescent="0.2">
      <c r="A103" s="222"/>
      <c r="C103" s="6"/>
      <c r="D103" s="6"/>
      <c r="J103" s="17"/>
      <c r="M103" s="166"/>
      <c r="N103" s="2"/>
      <c r="O103"/>
      <c r="P103" s="6"/>
      <c r="Q103"/>
      <c r="R103"/>
      <c r="S103"/>
      <c r="T103"/>
      <c r="U103"/>
      <c r="V103"/>
      <c r="X103" s="220"/>
      <c r="Y103" s="155"/>
      <c r="Z103" s="155"/>
      <c r="AA103"/>
      <c r="AB103"/>
      <c r="AC103"/>
      <c r="AD103" s="171">
        <v>0.77</v>
      </c>
      <c r="AJ103" s="1"/>
      <c r="AK103" s="275"/>
      <c r="AL103" s="270"/>
      <c r="AM103"/>
      <c r="AN103"/>
      <c r="AO103"/>
      <c r="AP103" s="189"/>
      <c r="AQ103" s="220"/>
      <c r="AS103" s="220"/>
      <c r="AU103"/>
      <c r="AV103"/>
      <c r="AW103"/>
      <c r="AX103"/>
    </row>
    <row r="104" spans="1:50" s="4" customFormat="1" x14ac:dyDescent="0.2">
      <c r="A104" s="222"/>
      <c r="C104" s="6"/>
      <c r="D104" s="6"/>
      <c r="J104" s="17"/>
      <c r="M104" s="166"/>
      <c r="N104" s="2"/>
      <c r="O104"/>
      <c r="P104" s="6"/>
      <c r="Q104"/>
      <c r="R104"/>
      <c r="S104"/>
      <c r="T104"/>
      <c r="U104"/>
      <c r="V104"/>
      <c r="X104" s="220"/>
      <c r="Y104" s="155"/>
      <c r="Z104" s="155"/>
      <c r="AA104"/>
      <c r="AB104"/>
      <c r="AC104"/>
      <c r="AD104" s="171">
        <v>0.76</v>
      </c>
      <c r="AN104" s="226"/>
      <c r="AO104" s="226"/>
      <c r="AP104" s="189"/>
      <c r="AQ104" s="220"/>
      <c r="AS104" s="220"/>
      <c r="AU104"/>
      <c r="AV104"/>
      <c r="AW104"/>
      <c r="AX104"/>
    </row>
    <row r="105" spans="1:50" s="4" customFormat="1" x14ac:dyDescent="0.2">
      <c r="A105" s="222"/>
      <c r="C105" s="6"/>
      <c r="D105" s="6"/>
      <c r="E105" s="233"/>
      <c r="F105" s="37"/>
      <c r="H105" s="17"/>
      <c r="I105" s="17"/>
      <c r="J105" s="17"/>
      <c r="M105" s="166"/>
      <c r="N105" s="2"/>
      <c r="O105"/>
      <c r="P105" s="6"/>
      <c r="Q105"/>
      <c r="R105"/>
      <c r="S105"/>
      <c r="T105"/>
      <c r="U105"/>
      <c r="V105"/>
      <c r="X105" s="220"/>
      <c r="Y105" s="155"/>
      <c r="Z105" s="155"/>
      <c r="AA105"/>
      <c r="AB105"/>
      <c r="AC105"/>
      <c r="AD105" s="171">
        <v>0.75</v>
      </c>
      <c r="AJ105" s="226"/>
      <c r="AK105" s="234"/>
      <c r="AL105" s="227"/>
      <c r="AM105" s="226"/>
      <c r="AN105" s="226"/>
      <c r="AO105" s="226"/>
      <c r="AP105" s="189"/>
      <c r="AQ105" s="220"/>
      <c r="AS105" s="220"/>
      <c r="AU105"/>
      <c r="AV105"/>
      <c r="AW105"/>
      <c r="AX105"/>
    </row>
    <row r="106" spans="1:50" s="4" customFormat="1" x14ac:dyDescent="0.2">
      <c r="A106" s="222"/>
      <c r="C106" s="6"/>
      <c r="D106" s="6"/>
      <c r="E106" s="233"/>
      <c r="F106" s="37"/>
      <c r="H106" s="17"/>
      <c r="I106" s="17"/>
      <c r="J106" s="17"/>
      <c r="M106" s="166"/>
      <c r="N106" s="2"/>
      <c r="O106"/>
      <c r="P106" s="6"/>
      <c r="Q106"/>
      <c r="R106"/>
      <c r="S106"/>
      <c r="T106"/>
      <c r="U106"/>
      <c r="V106"/>
      <c r="X106" s="220"/>
      <c r="Y106"/>
      <c r="Z106"/>
      <c r="AA106"/>
      <c r="AB106"/>
      <c r="AC106"/>
      <c r="AD106" s="171">
        <v>0.74</v>
      </c>
      <c r="AJ106" s="220"/>
      <c r="AK106" s="165" t="s">
        <v>0</v>
      </c>
      <c r="AL106" s="1" t="s">
        <v>192</v>
      </c>
      <c r="AM106" s="226"/>
      <c r="AN106" s="226"/>
      <c r="AO106" s="226"/>
      <c r="AP106" s="189"/>
      <c r="AQ106" s="220"/>
      <c r="AS106" s="220"/>
      <c r="AU106"/>
      <c r="AV106"/>
      <c r="AW106"/>
      <c r="AX106"/>
    </row>
    <row r="107" spans="1:50" s="4" customFormat="1" x14ac:dyDescent="0.2">
      <c r="A107" s="222"/>
      <c r="C107" s="6"/>
      <c r="D107" s="6"/>
      <c r="E107" s="233"/>
      <c r="F107" s="37"/>
      <c r="H107" s="17"/>
      <c r="I107" s="17"/>
      <c r="J107" s="17"/>
      <c r="M107" s="166"/>
      <c r="N107" s="2"/>
      <c r="O107"/>
      <c r="P107" s="6"/>
      <c r="Q107"/>
      <c r="R107"/>
      <c r="S107"/>
      <c r="T107"/>
      <c r="U107"/>
      <c r="V107"/>
      <c r="X107" s="220"/>
      <c r="Y107"/>
      <c r="Z107"/>
      <c r="AA107"/>
      <c r="AB107"/>
      <c r="AC107"/>
      <c r="AD107" s="171">
        <v>0.73</v>
      </c>
      <c r="AJ107" s="30" t="s">
        <v>198</v>
      </c>
      <c r="AK107" s="232" t="e">
        <f ca="1">DATE(YEAR(#REF!)-RMAData!$L$5,MONTH(#REF!),DAY(#REF!))</f>
        <v>#REF!</v>
      </c>
      <c r="AL107" s="232">
        <f ca="1">DATE(YEAR(F14)-RMAData!$L$5,MONTH(F14),DAY(F14))</f>
        <v>41091</v>
      </c>
      <c r="AM107" s="226"/>
      <c r="AN107" s="226"/>
      <c r="AO107" s="226"/>
      <c r="AP107" s="189"/>
      <c r="AQ107" s="220"/>
      <c r="AS107" s="220"/>
      <c r="AU107"/>
      <c r="AV107"/>
      <c r="AW107"/>
      <c r="AX107"/>
    </row>
    <row r="108" spans="1:50" s="4" customFormat="1" x14ac:dyDescent="0.2">
      <c r="A108" s="222"/>
      <c r="C108" s="6"/>
      <c r="D108" s="6"/>
      <c r="E108" s="233"/>
      <c r="F108" s="37"/>
      <c r="H108" s="17"/>
      <c r="I108" s="17"/>
      <c r="J108" s="17"/>
      <c r="O108"/>
      <c r="P108" s="6"/>
      <c r="Q108"/>
      <c r="R108"/>
      <c r="S108"/>
      <c r="T108"/>
      <c r="U108"/>
      <c r="V108"/>
      <c r="X108" s="220"/>
      <c r="Y108"/>
      <c r="Z108"/>
      <c r="AA108"/>
      <c r="AB108"/>
      <c r="AC108"/>
      <c r="AD108" s="171">
        <v>0.72</v>
      </c>
      <c r="AJ108" s="235" t="s">
        <v>200</v>
      </c>
      <c r="AK108" s="227"/>
      <c r="AL108" s="227"/>
      <c r="AM108" s="226"/>
      <c r="AN108" s="226"/>
      <c r="AO108" s="226"/>
      <c r="AP108" s="189"/>
      <c r="AQ108" s="220"/>
      <c r="AS108" s="220"/>
      <c r="AU108"/>
      <c r="AV108"/>
      <c r="AW108"/>
      <c r="AX108"/>
    </row>
    <row r="109" spans="1:50" s="4" customFormat="1" x14ac:dyDescent="0.2">
      <c r="A109" s="222"/>
      <c r="C109" s="6"/>
      <c r="D109" s="6"/>
      <c r="E109" s="233"/>
      <c r="F109" s="37"/>
      <c r="H109" s="17"/>
      <c r="I109" s="17"/>
      <c r="J109" s="17"/>
      <c r="O109"/>
      <c r="P109" s="6"/>
      <c r="Q109"/>
      <c r="R109"/>
      <c r="S109"/>
      <c r="T109"/>
      <c r="U109"/>
      <c r="V109"/>
      <c r="X109" s="220"/>
      <c r="Y109"/>
      <c r="Z109"/>
      <c r="AA109"/>
      <c r="AB109"/>
      <c r="AC109"/>
      <c r="AD109" s="171">
        <v>0.71</v>
      </c>
      <c r="AJ109" s="6"/>
      <c r="AK109" s="165" t="s">
        <v>27</v>
      </c>
      <c r="AL109" s="233"/>
      <c r="AM109" s="128" t="s">
        <v>29</v>
      </c>
      <c r="AO109" s="37"/>
      <c r="AP109" s="189"/>
      <c r="AQ109" s="220"/>
      <c r="AS109" s="220"/>
      <c r="AU109"/>
      <c r="AV109"/>
      <c r="AW109"/>
      <c r="AX109"/>
    </row>
    <row r="110" spans="1:50" s="4" customFormat="1" x14ac:dyDescent="0.2">
      <c r="A110" s="222"/>
      <c r="C110" s="6"/>
      <c r="D110" s="6"/>
      <c r="E110" s="233"/>
      <c r="F110" s="37"/>
      <c r="H110" s="17"/>
      <c r="I110" s="17"/>
      <c r="J110" s="17"/>
      <c r="O110"/>
      <c r="P110" s="6"/>
      <c r="Q110"/>
      <c r="R110"/>
      <c r="S110"/>
      <c r="T110"/>
      <c r="U110"/>
      <c r="V110"/>
      <c r="X110" s="220"/>
      <c r="Y110"/>
      <c r="Z110"/>
      <c r="AA110"/>
      <c r="AB110"/>
      <c r="AC110"/>
      <c r="AD110" s="171">
        <v>0.7</v>
      </c>
      <c r="AJ110" s="165" t="s">
        <v>199</v>
      </c>
      <c r="AK110" s="1" t="s">
        <v>0</v>
      </c>
      <c r="AL110" s="1" t="s">
        <v>192</v>
      </c>
      <c r="AM110" s="1" t="s">
        <v>0</v>
      </c>
      <c r="AN110" s="1" t="s">
        <v>192</v>
      </c>
      <c r="AP110" s="189"/>
      <c r="AQ110" s="220"/>
      <c r="AS110" s="220"/>
      <c r="AU110"/>
      <c r="AV110"/>
      <c r="AW110"/>
      <c r="AX110"/>
    </row>
    <row r="111" spans="1:50" x14ac:dyDescent="0.2">
      <c r="C111" s="220"/>
      <c r="D111" s="220"/>
      <c r="P111" s="6"/>
      <c r="X111" s="220"/>
      <c r="AD111" s="171">
        <v>0.69</v>
      </c>
      <c r="AJ111" s="165" t="s">
        <v>189</v>
      </c>
      <c r="AK111" s="236">
        <v>-6358381.1318135969</v>
      </c>
      <c r="AL111" s="236">
        <v>-17181786.020406116</v>
      </c>
      <c r="AM111" s="236">
        <v>-10434114.083420666</v>
      </c>
      <c r="AN111" s="236">
        <v>-14710355.179590281</v>
      </c>
      <c r="AP111" s="189"/>
      <c r="AQ111" s="220"/>
      <c r="AS111" s="220"/>
    </row>
    <row r="112" spans="1:50" x14ac:dyDescent="0.2">
      <c r="P112" s="6"/>
      <c r="X112" s="220"/>
      <c r="AD112" s="171">
        <v>0.68</v>
      </c>
      <c r="AJ112" s="165" t="s">
        <v>190</v>
      </c>
      <c r="AK112" s="236">
        <v>310.3880303028069</v>
      </c>
      <c r="AL112" s="236">
        <v>837.43741496588643</v>
      </c>
      <c r="AM112" s="236">
        <v>509.25824175844087</v>
      </c>
      <c r="AN112" s="236">
        <v>716.93910018545284</v>
      </c>
      <c r="AP112" s="189"/>
      <c r="AQ112" s="220"/>
      <c r="AS112" s="220"/>
    </row>
    <row r="113" spans="16:45" ht="13.5" thickBot="1" x14ac:dyDescent="0.25">
      <c r="P113" s="6"/>
      <c r="X113" s="220"/>
      <c r="AD113" s="171">
        <v>0.67</v>
      </c>
      <c r="AJ113" s="165" t="s">
        <v>191</v>
      </c>
      <c r="AK113" s="237">
        <v>-3.7878787878760675E-3</v>
      </c>
      <c r="AL113" s="237">
        <v>-1.0204081632651843E-2</v>
      </c>
      <c r="AM113" s="237">
        <v>-6.2137862137886402E-3</v>
      </c>
      <c r="AN113" s="237">
        <v>-8.7353123067399532E-3</v>
      </c>
      <c r="AP113" s="189"/>
      <c r="AQ113" s="220"/>
      <c r="AS113" s="220"/>
    </row>
    <row r="114" spans="16:45" x14ac:dyDescent="0.2">
      <c r="P114" s="6"/>
      <c r="X114" s="220"/>
      <c r="AD114" s="171">
        <v>0.66</v>
      </c>
      <c r="AJ114" s="165" t="s">
        <v>193</v>
      </c>
      <c r="AK114" s="171" t="e">
        <f ca="1">MAX(0,(AK111+$AK$107*AK112+$AK$107^2*AK113)/100)</f>
        <v>#REF!</v>
      </c>
      <c r="AL114" s="171">
        <f ca="1">MAX(0,(AL111+$AL$107*AL112+$AL$107^2*AL113)/100)</f>
        <v>0.66216326531022784</v>
      </c>
      <c r="AM114" s="171" t="e">
        <f ca="1">MAX(0,(AM111+$AK$107*AM112+$AK$107^2*AM113)/100)</f>
        <v>#REF!</v>
      </c>
      <c r="AN114" s="171">
        <f ca="1">MAX(0,(AN111+$AL$107*AN112+$AL$107^2*AN113)/100)</f>
        <v>0.741609461940825</v>
      </c>
      <c r="AP114" s="189"/>
      <c r="AQ114" s="220"/>
      <c r="AS114" s="220"/>
    </row>
    <row r="115" spans="16:45" x14ac:dyDescent="0.2">
      <c r="P115" s="6"/>
      <c r="X115" s="220"/>
      <c r="AD115" s="171">
        <v>0.65</v>
      </c>
      <c r="AK115" s="274"/>
      <c r="AM115" s="236"/>
      <c r="AP115" s="189"/>
      <c r="AQ115" s="220"/>
      <c r="AS115" s="220"/>
    </row>
    <row r="116" spans="16:45" x14ac:dyDescent="0.2">
      <c r="P116" s="6"/>
      <c r="X116" s="220"/>
      <c r="AD116" s="171">
        <v>0.64</v>
      </c>
      <c r="AP116" s="189"/>
      <c r="AQ116" s="220"/>
      <c r="AS116" s="220"/>
    </row>
    <row r="117" spans="16:45" x14ac:dyDescent="0.2">
      <c r="P117" s="6"/>
      <c r="X117" s="220"/>
      <c r="AD117" s="171">
        <v>0.63</v>
      </c>
      <c r="AJ117" s="165"/>
      <c r="AP117" s="189"/>
      <c r="AQ117" s="220"/>
      <c r="AS117" s="220"/>
    </row>
    <row r="118" spans="16:45" x14ac:dyDescent="0.2">
      <c r="P118" s="6"/>
      <c r="X118" s="220"/>
      <c r="AD118" s="171">
        <v>0.62</v>
      </c>
      <c r="AJ118" s="165"/>
      <c r="AK118" s="238"/>
      <c r="AL118" s="238"/>
      <c r="AM118" s="238"/>
      <c r="AN118" s="238"/>
      <c r="AP118" s="189"/>
      <c r="AQ118" s="220"/>
      <c r="AS118" s="220"/>
    </row>
    <row r="119" spans="16:45" x14ac:dyDescent="0.2">
      <c r="P119" s="6"/>
      <c r="X119" s="220"/>
      <c r="AD119" s="171">
        <v>0.61</v>
      </c>
      <c r="AJ119" s="165"/>
      <c r="AK119" s="238"/>
      <c r="AL119" s="238"/>
      <c r="AM119" s="238"/>
      <c r="AN119" s="238"/>
      <c r="AP119" s="189"/>
      <c r="AQ119" s="220"/>
      <c r="AS119" s="220"/>
    </row>
    <row r="120" spans="16:45" x14ac:dyDescent="0.2">
      <c r="P120" s="6"/>
      <c r="X120" s="220"/>
      <c r="AD120" s="171">
        <v>0.6</v>
      </c>
      <c r="AJ120" s="165"/>
      <c r="AK120" s="238"/>
      <c r="AL120" s="238"/>
      <c r="AM120" s="238"/>
      <c r="AN120" s="238"/>
      <c r="AP120" s="189"/>
      <c r="AQ120" s="220"/>
      <c r="AS120" s="220"/>
    </row>
    <row r="121" spans="16:45" x14ac:dyDescent="0.2">
      <c r="P121" s="6"/>
      <c r="X121" s="220"/>
      <c r="AJ121" s="165"/>
      <c r="AK121" s="238"/>
      <c r="AL121" s="238"/>
      <c r="AM121" s="238"/>
      <c r="AN121" s="238"/>
      <c r="AP121" s="189"/>
      <c r="AQ121" s="220"/>
      <c r="AS121" s="220"/>
    </row>
    <row r="122" spans="16:45" x14ac:dyDescent="0.2">
      <c r="P122" s="6"/>
      <c r="X122" s="220"/>
      <c r="AP122" s="189"/>
      <c r="AQ122" s="220"/>
      <c r="AS122" s="220"/>
    </row>
    <row r="123" spans="16:45" x14ac:dyDescent="0.2">
      <c r="P123" s="6"/>
      <c r="X123" s="220"/>
      <c r="AP123" s="189"/>
      <c r="AQ123" s="220"/>
      <c r="AS123" s="220"/>
    </row>
    <row r="124" spans="16:45" x14ac:dyDescent="0.2">
      <c r="P124" s="6"/>
      <c r="X124" s="220"/>
      <c r="AJ124" s="165"/>
      <c r="AP124" s="189"/>
      <c r="AQ124" s="220"/>
      <c r="AS124" s="220"/>
    </row>
    <row r="125" spans="16:45" x14ac:dyDescent="0.2">
      <c r="P125" s="6"/>
      <c r="X125" s="220"/>
      <c r="AP125" s="189"/>
      <c r="AQ125" s="220"/>
      <c r="AS125" s="220"/>
    </row>
    <row r="126" spans="16:45" x14ac:dyDescent="0.2">
      <c r="P126" s="6"/>
      <c r="X126" s="220"/>
      <c r="AP126" s="189"/>
      <c r="AQ126" s="220"/>
      <c r="AS126" s="220"/>
    </row>
    <row r="127" spans="16:45" x14ac:dyDescent="0.2">
      <c r="P127" s="6"/>
      <c r="X127" s="220"/>
      <c r="AP127" s="189"/>
      <c r="AQ127" s="220"/>
      <c r="AS127" s="220"/>
    </row>
    <row r="128" spans="16:45" x14ac:dyDescent="0.2">
      <c r="P128" s="6"/>
      <c r="X128" s="220"/>
      <c r="AP128" s="189"/>
      <c r="AQ128" s="220"/>
      <c r="AS128" s="220"/>
    </row>
    <row r="129" spans="16:45" x14ac:dyDescent="0.2">
      <c r="P129" s="6"/>
      <c r="X129" s="220"/>
      <c r="AP129" s="189"/>
      <c r="AQ129" s="220"/>
      <c r="AS129" s="220"/>
    </row>
    <row r="130" spans="16:45" x14ac:dyDescent="0.2">
      <c r="P130" s="6"/>
      <c r="X130" s="220"/>
      <c r="AP130" s="189"/>
      <c r="AQ130" s="220"/>
      <c r="AS130" s="220"/>
    </row>
    <row r="131" spans="16:45" x14ac:dyDescent="0.2">
      <c r="P131" s="6"/>
      <c r="X131" s="220"/>
      <c r="AP131" s="189"/>
      <c r="AQ131" s="220"/>
      <c r="AS131" s="220"/>
    </row>
    <row r="132" spans="16:45" x14ac:dyDescent="0.2">
      <c r="P132" s="6"/>
      <c r="X132" s="220"/>
      <c r="AP132" s="189"/>
      <c r="AQ132" s="220"/>
      <c r="AS132" s="220"/>
    </row>
    <row r="133" spans="16:45" x14ac:dyDescent="0.2">
      <c r="P133" s="6"/>
      <c r="X133" s="220"/>
      <c r="AP133" s="189"/>
      <c r="AQ133" s="220"/>
      <c r="AS133" s="220"/>
    </row>
    <row r="134" spans="16:45" x14ac:dyDescent="0.2">
      <c r="P134" s="6"/>
      <c r="X134" s="220"/>
      <c r="AP134" s="189"/>
      <c r="AQ134" s="220"/>
      <c r="AS134" s="220"/>
    </row>
    <row r="135" spans="16:45" x14ac:dyDescent="0.2">
      <c r="P135" s="6"/>
      <c r="X135" s="220"/>
      <c r="AP135" s="189"/>
      <c r="AQ135" s="220"/>
      <c r="AS135" s="220"/>
    </row>
    <row r="136" spans="16:45" x14ac:dyDescent="0.2">
      <c r="P136" s="6"/>
      <c r="X136" s="220"/>
      <c r="AP136" s="189"/>
      <c r="AQ136" s="220"/>
      <c r="AS136" s="220"/>
    </row>
    <row r="137" spans="16:45" x14ac:dyDescent="0.2">
      <c r="P137" s="6"/>
      <c r="X137" s="220"/>
      <c r="AP137" s="189"/>
      <c r="AQ137" s="220"/>
      <c r="AS137" s="220"/>
    </row>
    <row r="138" spans="16:45" x14ac:dyDescent="0.2">
      <c r="P138" s="6"/>
      <c r="X138" s="220"/>
      <c r="AP138" s="189"/>
      <c r="AQ138" s="220"/>
      <c r="AS138" s="220"/>
    </row>
    <row r="139" spans="16:45" x14ac:dyDescent="0.2">
      <c r="P139" s="6"/>
      <c r="X139" s="220"/>
      <c r="AP139" s="189"/>
      <c r="AQ139" s="220"/>
      <c r="AS139" s="220"/>
    </row>
    <row r="140" spans="16:45" x14ac:dyDescent="0.2">
      <c r="P140" s="6"/>
      <c r="X140" s="220"/>
      <c r="AP140" s="189"/>
      <c r="AQ140" s="220"/>
      <c r="AS140" s="220"/>
    </row>
    <row r="141" spans="16:45" x14ac:dyDescent="0.2">
      <c r="P141" s="6"/>
      <c r="X141" s="220"/>
      <c r="AP141" s="189"/>
      <c r="AQ141" s="220"/>
      <c r="AS141" s="220"/>
    </row>
    <row r="142" spans="16:45" x14ac:dyDescent="0.2">
      <c r="P142" s="6"/>
      <c r="X142" s="220"/>
      <c r="AP142" s="189"/>
      <c r="AQ142" s="220"/>
      <c r="AS142" s="220"/>
    </row>
    <row r="143" spans="16:45" x14ac:dyDescent="0.2">
      <c r="P143" s="6"/>
      <c r="X143" s="220"/>
      <c r="AP143" s="189"/>
      <c r="AQ143" s="220"/>
      <c r="AS143" s="220"/>
    </row>
    <row r="144" spans="16:45" x14ac:dyDescent="0.2">
      <c r="P144" s="6"/>
      <c r="X144" s="220"/>
      <c r="AP144" s="189"/>
      <c r="AQ144" s="220"/>
      <c r="AS144" s="220"/>
    </row>
    <row r="145" spans="16:45" x14ac:dyDescent="0.2">
      <c r="P145" s="6"/>
      <c r="X145" s="220"/>
      <c r="AP145" s="189"/>
      <c r="AQ145" s="220"/>
      <c r="AS145" s="220"/>
    </row>
    <row r="146" spans="16:45" x14ac:dyDescent="0.2">
      <c r="P146" s="6"/>
      <c r="X146" s="220"/>
      <c r="AP146" s="189"/>
      <c r="AQ146" s="220"/>
      <c r="AS146" s="220"/>
    </row>
    <row r="147" spans="16:45" x14ac:dyDescent="0.2">
      <c r="P147" s="6"/>
      <c r="X147" s="220"/>
      <c r="AP147" s="189"/>
      <c r="AQ147" s="220"/>
      <c r="AS147" s="220"/>
    </row>
    <row r="148" spans="16:45" x14ac:dyDescent="0.2">
      <c r="P148" s="6"/>
      <c r="X148" s="220"/>
      <c r="AP148" s="189"/>
      <c r="AQ148" s="220"/>
      <c r="AS148" s="220"/>
    </row>
    <row r="149" spans="16:45" x14ac:dyDescent="0.2">
      <c r="P149" s="6"/>
      <c r="X149" s="220"/>
      <c r="AP149" s="189"/>
      <c r="AQ149" s="220"/>
      <c r="AS149" s="220"/>
    </row>
    <row r="150" spans="16:45" x14ac:dyDescent="0.2">
      <c r="P150" s="6"/>
      <c r="X150" s="220"/>
      <c r="AP150" s="189"/>
      <c r="AQ150" s="220"/>
      <c r="AS150" s="220"/>
    </row>
    <row r="151" spans="16:45" x14ac:dyDescent="0.2">
      <c r="P151" s="6"/>
      <c r="X151" s="220"/>
      <c r="AP151" s="189"/>
      <c r="AQ151" s="220"/>
      <c r="AS151" s="220"/>
    </row>
    <row r="152" spans="16:45" x14ac:dyDescent="0.2">
      <c r="P152" s="6"/>
      <c r="X152" s="220"/>
      <c r="AP152" s="189"/>
      <c r="AQ152" s="220"/>
      <c r="AS152" s="220"/>
    </row>
    <row r="153" spans="16:45" x14ac:dyDescent="0.2">
      <c r="P153" s="6"/>
      <c r="X153" s="220"/>
      <c r="AP153" s="189"/>
      <c r="AQ153" s="220"/>
      <c r="AS153" s="220"/>
    </row>
    <row r="154" spans="16:45" x14ac:dyDescent="0.2">
      <c r="P154" s="6"/>
      <c r="X154" s="220"/>
      <c r="AP154" s="189"/>
      <c r="AQ154" s="220"/>
      <c r="AS154" s="220"/>
    </row>
    <row r="155" spans="16:45" x14ac:dyDescent="0.2">
      <c r="P155" s="6"/>
      <c r="X155" s="220"/>
      <c r="AP155" s="189"/>
      <c r="AQ155" s="220"/>
      <c r="AS155" s="220"/>
    </row>
    <row r="156" spans="16:45" x14ac:dyDescent="0.2">
      <c r="P156" s="6"/>
      <c r="X156" s="220"/>
      <c r="AP156" s="189"/>
      <c r="AQ156" s="220"/>
      <c r="AS156" s="220"/>
    </row>
    <row r="157" spans="16:45" x14ac:dyDescent="0.2">
      <c r="P157" s="6"/>
      <c r="X157" s="220"/>
      <c r="AP157" s="189"/>
      <c r="AQ157" s="220"/>
      <c r="AS157" s="220"/>
    </row>
    <row r="158" spans="16:45" x14ac:dyDescent="0.2">
      <c r="P158" s="6"/>
      <c r="X158" s="220"/>
      <c r="AP158" s="189"/>
      <c r="AQ158" s="220"/>
      <c r="AS158" s="220"/>
    </row>
    <row r="159" spans="16:45" x14ac:dyDescent="0.2">
      <c r="P159" s="6"/>
      <c r="X159" s="220"/>
      <c r="AP159" s="189"/>
      <c r="AQ159" s="220"/>
      <c r="AS159" s="220"/>
    </row>
    <row r="160" spans="16:45" x14ac:dyDescent="0.2">
      <c r="P160" s="6"/>
      <c r="X160" s="220"/>
      <c r="AP160" s="189"/>
      <c r="AQ160" s="220"/>
      <c r="AS160" s="220"/>
    </row>
    <row r="161" spans="16:45" x14ac:dyDescent="0.2">
      <c r="P161" s="6"/>
      <c r="X161" s="220"/>
      <c r="AP161" s="189"/>
      <c r="AQ161" s="220"/>
      <c r="AS161" s="220"/>
    </row>
    <row r="162" spans="16:45" x14ac:dyDescent="0.2">
      <c r="P162" s="6"/>
      <c r="X162" s="220"/>
      <c r="AP162" s="189"/>
      <c r="AQ162" s="220"/>
      <c r="AS162" s="220"/>
    </row>
    <row r="163" spans="16:45" x14ac:dyDescent="0.2">
      <c r="P163" s="6"/>
      <c r="X163" s="220"/>
      <c r="AP163" s="189"/>
      <c r="AQ163" s="220"/>
      <c r="AS163" s="220"/>
    </row>
    <row r="164" spans="16:45" x14ac:dyDescent="0.2">
      <c r="P164" s="6"/>
      <c r="X164" s="220"/>
      <c r="AP164" s="189"/>
      <c r="AQ164" s="220"/>
      <c r="AS164" s="220"/>
    </row>
    <row r="165" spans="16:45" x14ac:dyDescent="0.2">
      <c r="P165" s="6"/>
      <c r="X165" s="220"/>
      <c r="AP165" s="189"/>
      <c r="AQ165" s="220"/>
      <c r="AS165" s="220"/>
    </row>
    <row r="166" spans="16:45" x14ac:dyDescent="0.2">
      <c r="P166" s="6"/>
      <c r="X166" s="220"/>
      <c r="AP166" s="189"/>
      <c r="AQ166" s="220"/>
      <c r="AS166" s="220"/>
    </row>
    <row r="167" spans="16:45" x14ac:dyDescent="0.2">
      <c r="P167" s="6"/>
      <c r="X167" s="220"/>
      <c r="AP167" s="189"/>
      <c r="AQ167" s="220"/>
      <c r="AS167" s="220"/>
    </row>
    <row r="168" spans="16:45" x14ac:dyDescent="0.2">
      <c r="P168" s="6"/>
      <c r="X168" s="220"/>
      <c r="AP168" s="189"/>
      <c r="AQ168" s="220"/>
      <c r="AS168" s="220"/>
    </row>
    <row r="169" spans="16:45" x14ac:dyDescent="0.2">
      <c r="P169" s="6"/>
      <c r="X169" s="220"/>
      <c r="AP169" s="189"/>
      <c r="AQ169" s="220"/>
      <c r="AS169" s="220"/>
    </row>
    <row r="170" spans="16:45" x14ac:dyDescent="0.2">
      <c r="P170" s="6"/>
      <c r="X170" s="220"/>
      <c r="AP170" s="189"/>
      <c r="AQ170" s="220"/>
      <c r="AS170" s="220"/>
    </row>
    <row r="171" spans="16:45" x14ac:dyDescent="0.2">
      <c r="P171" s="6"/>
      <c r="X171" s="220"/>
      <c r="AP171" s="189"/>
      <c r="AQ171" s="220"/>
      <c r="AS171" s="220"/>
    </row>
    <row r="172" spans="16:45" x14ac:dyDescent="0.2">
      <c r="P172" s="6"/>
      <c r="X172" s="220"/>
      <c r="AP172" s="189"/>
      <c r="AQ172" s="220"/>
      <c r="AS172" s="220"/>
    </row>
    <row r="173" spans="16:45" x14ac:dyDescent="0.2">
      <c r="P173" s="6"/>
      <c r="X173" s="220"/>
      <c r="AP173" s="189"/>
      <c r="AQ173" s="220"/>
      <c r="AS173" s="220"/>
    </row>
    <row r="174" spans="16:45" x14ac:dyDescent="0.2">
      <c r="P174" s="6"/>
      <c r="X174" s="220"/>
      <c r="AP174" s="189"/>
      <c r="AQ174" s="220"/>
      <c r="AS174" s="220"/>
    </row>
    <row r="175" spans="16:45" x14ac:dyDescent="0.2">
      <c r="P175" s="6"/>
      <c r="X175" s="220"/>
      <c r="AP175" s="189"/>
      <c r="AQ175" s="220"/>
      <c r="AS175" s="220"/>
    </row>
    <row r="176" spans="16:45" x14ac:dyDescent="0.2">
      <c r="P176" s="6"/>
      <c r="X176" s="220"/>
      <c r="AP176" s="189"/>
      <c r="AQ176" s="220"/>
      <c r="AS176" s="220"/>
    </row>
    <row r="177" spans="16:45" x14ac:dyDescent="0.2">
      <c r="P177" s="6"/>
      <c r="X177" s="220"/>
      <c r="AP177" s="189"/>
      <c r="AQ177" s="220"/>
      <c r="AS177" s="220"/>
    </row>
    <row r="178" spans="16:45" x14ac:dyDescent="0.2">
      <c r="P178" s="220"/>
      <c r="X178" s="220"/>
      <c r="AP178" s="189"/>
      <c r="AQ178" s="220"/>
      <c r="AS178" s="220"/>
    </row>
    <row r="179" spans="16:45" x14ac:dyDescent="0.2">
      <c r="P179" s="1"/>
      <c r="X179" s="220"/>
      <c r="AP179" s="189"/>
      <c r="AQ179" s="220"/>
      <c r="AS179" s="220"/>
    </row>
    <row r="180" spans="16:45" x14ac:dyDescent="0.2">
      <c r="X180" s="220"/>
      <c r="AP180" s="189"/>
      <c r="AQ180" s="220"/>
      <c r="AS180" s="220"/>
    </row>
    <row r="181" spans="16:45" x14ac:dyDescent="0.2">
      <c r="X181" s="220"/>
      <c r="AP181" s="189"/>
      <c r="AQ181" s="220"/>
      <c r="AS181" s="220"/>
    </row>
    <row r="182" spans="16:45" x14ac:dyDescent="0.2">
      <c r="X182" s="220"/>
      <c r="AP182" s="189"/>
      <c r="AQ182" s="220"/>
      <c r="AS182" s="220"/>
    </row>
    <row r="183" spans="16:45" x14ac:dyDescent="0.2">
      <c r="X183" s="1"/>
      <c r="AP183" s="189"/>
      <c r="AQ183" s="220"/>
      <c r="AS183" s="220"/>
    </row>
    <row r="184" spans="16:45" x14ac:dyDescent="0.2">
      <c r="AP184" s="189"/>
      <c r="AQ184" s="220"/>
      <c r="AS184" s="220"/>
    </row>
    <row r="185" spans="16:45" x14ac:dyDescent="0.2">
      <c r="AP185" s="189"/>
      <c r="AQ185" s="220"/>
      <c r="AS185" s="220"/>
    </row>
    <row r="186" spans="16:45" x14ac:dyDescent="0.2">
      <c r="AP186" s="189"/>
      <c r="AQ186" s="220"/>
      <c r="AS186" s="220"/>
    </row>
    <row r="187" spans="16:45" x14ac:dyDescent="0.2">
      <c r="AP187" s="189"/>
      <c r="AQ187" s="220"/>
      <c r="AS187" s="220"/>
    </row>
    <row r="188" spans="16:45" x14ac:dyDescent="0.2">
      <c r="AP188" s="189"/>
      <c r="AQ188" s="220"/>
      <c r="AS188" s="220"/>
    </row>
    <row r="189" spans="16:45" x14ac:dyDescent="0.2">
      <c r="AP189" s="189"/>
      <c r="AQ189" s="220"/>
      <c r="AS189" s="220"/>
    </row>
    <row r="190" spans="16:45" x14ac:dyDescent="0.2">
      <c r="AP190" s="189"/>
      <c r="AQ190" s="220"/>
      <c r="AS190" s="220"/>
    </row>
    <row r="191" spans="16:45" x14ac:dyDescent="0.2">
      <c r="AP191" s="189"/>
      <c r="AQ191" s="220"/>
      <c r="AS191" s="220"/>
    </row>
    <row r="192" spans="16:45" x14ac:dyDescent="0.2">
      <c r="AP192" s="189"/>
      <c r="AQ192" s="220"/>
      <c r="AS192" s="220"/>
    </row>
    <row r="193" spans="42:45" x14ac:dyDescent="0.2">
      <c r="AP193" s="189"/>
      <c r="AQ193" s="220"/>
      <c r="AS193" s="220"/>
    </row>
    <row r="194" spans="42:45" x14ac:dyDescent="0.2">
      <c r="AP194" s="189"/>
      <c r="AQ194" s="220"/>
      <c r="AS194" s="220"/>
    </row>
    <row r="195" spans="42:45" x14ac:dyDescent="0.2">
      <c r="AP195" s="189"/>
      <c r="AQ195" s="220"/>
      <c r="AS195" s="220"/>
    </row>
    <row r="196" spans="42:45" x14ac:dyDescent="0.2">
      <c r="AP196" s="189"/>
      <c r="AQ196" s="220"/>
      <c r="AS196" s="220"/>
    </row>
    <row r="197" spans="42:45" x14ac:dyDescent="0.2">
      <c r="AP197" s="189"/>
      <c r="AQ197" s="220"/>
      <c r="AS197" s="220"/>
    </row>
    <row r="198" spans="42:45" x14ac:dyDescent="0.2">
      <c r="AP198" s="189"/>
      <c r="AQ198" s="220"/>
      <c r="AS198" s="220"/>
    </row>
    <row r="199" spans="42:45" x14ac:dyDescent="0.2">
      <c r="AP199" s="189"/>
      <c r="AQ199" s="220"/>
      <c r="AS199" s="220"/>
    </row>
    <row r="200" spans="42:45" x14ac:dyDescent="0.2">
      <c r="AP200" s="189"/>
      <c r="AQ200" s="220"/>
      <c r="AS200" s="220"/>
    </row>
    <row r="201" spans="42:45" x14ac:dyDescent="0.2">
      <c r="AP201" s="189"/>
      <c r="AQ201" s="220"/>
      <c r="AS201" s="220"/>
    </row>
    <row r="202" spans="42:45" x14ac:dyDescent="0.2">
      <c r="AP202" s="189"/>
      <c r="AQ202" s="220"/>
      <c r="AS202" s="220"/>
    </row>
  </sheetData>
  <sheetProtection sheet="1" selectLockedCells="1"/>
  <scenarios current="0" show="0">
    <scenario name="Corn Already Planted" count="1" user="William Edwards" comment="Created by William Edwards on 4/14/2005">
      <inputCells r="F14" undone="1" val="38467" numFmtId="16"/>
    </scenario>
  </scenarios>
  <mergeCells count="8">
    <mergeCell ref="C27:D27"/>
    <mergeCell ref="C35:F35"/>
    <mergeCell ref="C68:D68"/>
    <mergeCell ref="H8:J8"/>
    <mergeCell ref="H9:H10"/>
    <mergeCell ref="J9:J10"/>
    <mergeCell ref="H17:H19"/>
    <mergeCell ref="J17:J19"/>
  </mergeCells>
  <conditionalFormatting sqref="H25:I25">
    <cfRule type="cellIs" dxfId="15" priority="6" operator="equal">
      <formula>0</formula>
    </cfRule>
  </conditionalFormatting>
  <conditionalFormatting sqref="J25">
    <cfRule type="cellIs" dxfId="14" priority="5" operator="equal">
      <formula>0</formula>
    </cfRule>
  </conditionalFormatting>
  <conditionalFormatting sqref="H20 J20">
    <cfRule type="expression" dxfId="13" priority="7">
      <formula>#REF!="Revenue Protection"</formula>
    </cfRule>
  </conditionalFormatting>
  <conditionalFormatting sqref="H25 J25 J37">
    <cfRule type="expression" dxfId="12" priority="8">
      <formula>#REF!="Yield Protection"</formula>
    </cfRule>
  </conditionalFormatting>
  <conditionalFormatting sqref="H37:I37">
    <cfRule type="cellIs" dxfId="11" priority="2" operator="equal">
      <formula>0</formula>
    </cfRule>
  </conditionalFormatting>
  <conditionalFormatting sqref="H37">
    <cfRule type="expression" dxfId="10" priority="3">
      <formula>$AD$77&lt;4</formula>
    </cfRule>
  </conditionalFormatting>
  <conditionalFormatting sqref="F20">
    <cfRule type="expression" dxfId="9" priority="1">
      <formula>InsSels="Revenue Protection"</formula>
    </cfRule>
  </conditionalFormatting>
  <conditionalFormatting sqref="H47 J47">
    <cfRule type="iconSet" priority="65">
      <iconSet iconSet="3TrafficLights2">
        <cfvo type="percent" val="0"/>
        <cfvo type="percent" val="33"/>
        <cfvo type="percent" val="67"/>
      </iconSet>
    </cfRule>
  </conditionalFormatting>
  <dataValidations count="5">
    <dataValidation type="list" allowBlank="1" showInputMessage="1" showErrorMessage="1" sqref="F18" xr:uid="{A06E5AC6-0FEE-416D-9635-1ADB08775399}">
      <formula1>$AG$97:$AG$98</formula1>
    </dataValidation>
    <dataValidation type="list" allowBlank="1" showInputMessage="1" showErrorMessage="1" sqref="F17" xr:uid="{2C3BB2B2-6CFC-428E-B959-8E3467427590}">
      <formula1>$F$80:$F$82</formula1>
    </dataValidation>
    <dataValidation type="list" allowBlank="1" showInputMessage="1" showErrorMessage="1" sqref="E20:F20" xr:uid="{00EFA87A-1110-4764-A59C-293869295D93}">
      <formula1>$AD$80:$AD$120</formula1>
    </dataValidation>
    <dataValidation allowBlank="1" showInputMessage="1" showErrorMessage="1" prompt="The futures price is used to estimate crop revenue insurance payments." sqref="E10:F10" xr:uid="{E1EB84C0-9274-4F2F-BB94-262F01DCB3D7}"/>
    <dataValidation type="list" allowBlank="1" showInputMessage="1" showErrorMessage="1" sqref="E22:F22" xr:uid="{72B9434A-AF54-423E-9123-F6DD07E82D32}">
      <formula1>$AG$80:$AG$97</formula1>
    </dataValidation>
  </dataValidations>
  <pageMargins left="0.45" right="0.51" top="0.53" bottom="0.5" header="0.5" footer="0.5"/>
  <pageSetup scale="69" orientation="landscape" r:id="rId1"/>
  <headerFooter alignWithMargins="0"/>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DD1D174-DA17-4E1F-A329-64DDC3BCDB16}">
          <x14:formula1>
            <xm:f>RMAData!$A$3:$A$117</xm:f>
          </x14:formula1>
          <xm:sqref>D5:E5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T141"/>
  <sheetViews>
    <sheetView workbookViewId="0">
      <selection activeCell="D8" sqref="D8"/>
    </sheetView>
  </sheetViews>
  <sheetFormatPr defaultRowHeight="12.75" x14ac:dyDescent="0.2"/>
  <cols>
    <col min="1" max="1" width="17.85546875" bestFit="1" customWidth="1"/>
    <col min="2" max="2" width="27.5703125" customWidth="1"/>
    <col min="3" max="3" width="25.42578125" customWidth="1"/>
    <col min="4" max="4" width="29.140625" customWidth="1"/>
    <col min="5" max="5" width="26" customWidth="1"/>
    <col min="6" max="6" width="29.7109375" customWidth="1"/>
    <col min="11" max="11" width="15" customWidth="1"/>
    <col min="14" max="14" width="9.140625" bestFit="1" customWidth="1"/>
    <col min="15" max="15" width="15.140625" customWidth="1"/>
    <col min="16" max="16" width="14.140625" customWidth="1"/>
    <col min="17" max="17" width="13.7109375" customWidth="1"/>
    <col min="18" max="18" width="15.5703125" customWidth="1"/>
  </cols>
  <sheetData>
    <row r="1" spans="1:20" x14ac:dyDescent="0.2">
      <c r="O1" s="1"/>
    </row>
    <row r="2" spans="1:20" x14ac:dyDescent="0.2">
      <c r="A2" s="123" t="s">
        <v>30</v>
      </c>
      <c r="B2" s="124" t="s">
        <v>151</v>
      </c>
      <c r="C2" s="123" t="s">
        <v>145</v>
      </c>
      <c r="D2" s="123" t="s">
        <v>146</v>
      </c>
      <c r="E2" s="123" t="s">
        <v>171</v>
      </c>
      <c r="F2" s="123" t="s">
        <v>172</v>
      </c>
      <c r="G2" s="122"/>
      <c r="H2" s="122"/>
      <c r="O2" s="123"/>
      <c r="P2" s="123"/>
      <c r="Q2" s="123"/>
      <c r="R2" s="123"/>
    </row>
    <row r="3" spans="1:20" ht="15" x14ac:dyDescent="0.25">
      <c r="A3" t="s">
        <v>31</v>
      </c>
      <c r="B3" s="22" t="s">
        <v>27</v>
      </c>
      <c r="C3" s="127">
        <v>45077</v>
      </c>
      <c r="D3" s="127">
        <v>45097</v>
      </c>
      <c r="E3" s="127">
        <v>45021</v>
      </c>
      <c r="F3" s="127">
        <v>45036</v>
      </c>
      <c r="K3" s="1" t="s">
        <v>195</v>
      </c>
      <c r="L3">
        <v>2012</v>
      </c>
      <c r="N3" s="127"/>
      <c r="O3" s="20"/>
      <c r="P3" s="20"/>
      <c r="Q3" s="117"/>
      <c r="R3" s="117"/>
      <c r="T3" s="20"/>
    </row>
    <row r="4" spans="1:20" ht="15" x14ac:dyDescent="0.25">
      <c r="A4" t="s">
        <v>32</v>
      </c>
      <c r="B4" s="22" t="s">
        <v>27</v>
      </c>
      <c r="C4" s="127">
        <v>45071</v>
      </c>
      <c r="D4" s="127">
        <v>45097</v>
      </c>
      <c r="E4" s="127">
        <v>45021</v>
      </c>
      <c r="F4" s="127">
        <v>45036</v>
      </c>
      <c r="K4" s="1" t="s">
        <v>196</v>
      </c>
      <c r="L4">
        <f ca="1">YEAR(NOW())</f>
        <v>2023</v>
      </c>
      <c r="O4" s="20"/>
      <c r="P4" s="20"/>
      <c r="Q4" s="117"/>
      <c r="R4" s="117"/>
    </row>
    <row r="5" spans="1:20" ht="15" x14ac:dyDescent="0.25">
      <c r="A5" t="s">
        <v>33</v>
      </c>
      <c r="B5" s="22" t="s">
        <v>27</v>
      </c>
      <c r="C5" s="127">
        <v>45071</v>
      </c>
      <c r="D5" s="127">
        <v>45097</v>
      </c>
      <c r="E5" s="127">
        <v>45021</v>
      </c>
      <c r="F5" s="127">
        <v>45036</v>
      </c>
      <c r="K5" s="1" t="s">
        <v>197</v>
      </c>
      <c r="L5">
        <f ca="1">L4-L3</f>
        <v>11</v>
      </c>
      <c r="O5" s="20"/>
      <c r="P5" s="20"/>
      <c r="Q5" s="117"/>
      <c r="R5" s="117"/>
    </row>
    <row r="6" spans="1:20" ht="15" x14ac:dyDescent="0.25">
      <c r="A6" t="s">
        <v>34</v>
      </c>
      <c r="B6" s="22" t="s">
        <v>27</v>
      </c>
      <c r="C6" s="127">
        <v>45077</v>
      </c>
      <c r="D6" s="127">
        <v>45097</v>
      </c>
      <c r="E6" s="127">
        <v>45017</v>
      </c>
      <c r="F6" s="127">
        <v>45036</v>
      </c>
      <c r="O6" s="20"/>
      <c r="P6" s="20"/>
      <c r="Q6" s="117"/>
      <c r="R6" s="117"/>
    </row>
    <row r="7" spans="1:20" ht="15" x14ac:dyDescent="0.25">
      <c r="A7" t="s">
        <v>35</v>
      </c>
      <c r="B7" s="22" t="s">
        <v>28</v>
      </c>
      <c r="C7" s="127">
        <v>45061</v>
      </c>
      <c r="D7" s="127">
        <v>45107</v>
      </c>
      <c r="E7" s="127">
        <v>45005</v>
      </c>
      <c r="F7" s="127">
        <v>45041</v>
      </c>
      <c r="O7" s="20"/>
      <c r="P7" s="20"/>
      <c r="Q7" s="117"/>
      <c r="R7" s="117"/>
    </row>
    <row r="8" spans="1:20" ht="15" x14ac:dyDescent="0.25">
      <c r="A8" t="s">
        <v>36</v>
      </c>
      <c r="B8" s="22" t="s">
        <v>28</v>
      </c>
      <c r="C8" s="127">
        <v>45061</v>
      </c>
      <c r="D8" s="127">
        <v>45107</v>
      </c>
      <c r="E8" s="127">
        <v>45005</v>
      </c>
      <c r="F8" s="127">
        <v>45041</v>
      </c>
      <c r="O8" s="20"/>
      <c r="P8" s="20"/>
      <c r="Q8" s="117"/>
      <c r="R8" s="117"/>
    </row>
    <row r="9" spans="1:20" ht="15" x14ac:dyDescent="0.25">
      <c r="A9" t="s">
        <v>37</v>
      </c>
      <c r="B9" s="22" t="s">
        <v>28</v>
      </c>
      <c r="C9" s="127">
        <v>45071</v>
      </c>
      <c r="D9" s="127">
        <v>45102</v>
      </c>
      <c r="E9" s="127">
        <v>45017</v>
      </c>
      <c r="F9" s="127">
        <v>45036</v>
      </c>
      <c r="O9" s="20"/>
      <c r="P9" s="20"/>
      <c r="Q9" s="117"/>
      <c r="R9" s="117"/>
    </row>
    <row r="10" spans="1:20" ht="15" x14ac:dyDescent="0.25">
      <c r="A10" t="s">
        <v>38</v>
      </c>
      <c r="B10" s="22" t="s">
        <v>28</v>
      </c>
      <c r="C10" s="127">
        <v>45071</v>
      </c>
      <c r="D10" s="127">
        <v>45102</v>
      </c>
      <c r="E10" s="127">
        <v>45017</v>
      </c>
      <c r="F10" s="127">
        <v>45036</v>
      </c>
      <c r="O10" s="20"/>
      <c r="P10" s="20"/>
      <c r="Q10" s="117"/>
      <c r="R10" s="117"/>
    </row>
    <row r="11" spans="1:20" ht="15" x14ac:dyDescent="0.25">
      <c r="A11" t="s">
        <v>39</v>
      </c>
      <c r="B11" s="22" t="s">
        <v>28</v>
      </c>
      <c r="C11" s="127">
        <v>45071</v>
      </c>
      <c r="D11" s="127">
        <v>45102</v>
      </c>
      <c r="E11" s="127">
        <v>45017</v>
      </c>
      <c r="F11" s="127">
        <v>45036</v>
      </c>
      <c r="O11" s="20"/>
      <c r="P11" s="20"/>
      <c r="Q11" s="117"/>
      <c r="R11" s="117"/>
    </row>
    <row r="12" spans="1:20" ht="15" x14ac:dyDescent="0.25">
      <c r="A12" t="s">
        <v>40</v>
      </c>
      <c r="B12" s="22" t="s">
        <v>27</v>
      </c>
      <c r="C12" s="127">
        <v>45077</v>
      </c>
      <c r="D12" s="127">
        <v>45097</v>
      </c>
      <c r="E12" s="127">
        <v>45017</v>
      </c>
      <c r="F12" s="127">
        <v>45036</v>
      </c>
      <c r="O12" s="20"/>
      <c r="P12" s="20"/>
      <c r="Q12" s="117"/>
      <c r="R12" s="117"/>
    </row>
    <row r="13" spans="1:20" ht="15" x14ac:dyDescent="0.25">
      <c r="A13" t="s">
        <v>41</v>
      </c>
      <c r="B13" s="22" t="s">
        <v>27</v>
      </c>
      <c r="C13" s="127">
        <v>45071</v>
      </c>
      <c r="D13" s="127">
        <v>45097</v>
      </c>
      <c r="E13" s="127">
        <v>45021</v>
      </c>
      <c r="F13" s="127">
        <v>45036</v>
      </c>
      <c r="O13" s="20"/>
      <c r="P13" s="20"/>
      <c r="Q13" s="117"/>
      <c r="R13" s="117"/>
    </row>
    <row r="14" spans="1:20" ht="15" x14ac:dyDescent="0.25">
      <c r="A14" t="s">
        <v>42</v>
      </c>
      <c r="B14" s="22" t="s">
        <v>28</v>
      </c>
      <c r="C14" s="127">
        <v>45056</v>
      </c>
      <c r="D14" s="127">
        <v>45107</v>
      </c>
      <c r="E14" s="127">
        <v>45005</v>
      </c>
      <c r="F14" s="127">
        <v>45031</v>
      </c>
      <c r="O14" s="20"/>
      <c r="P14" s="20"/>
      <c r="Q14" s="117"/>
      <c r="R14" s="117"/>
    </row>
    <row r="15" spans="1:20" ht="15" x14ac:dyDescent="0.25">
      <c r="A15" t="s">
        <v>43</v>
      </c>
      <c r="B15" s="22" t="s">
        <v>27</v>
      </c>
      <c r="C15" s="127">
        <v>45071</v>
      </c>
      <c r="D15" s="127">
        <v>45097</v>
      </c>
      <c r="E15" s="127">
        <v>45021</v>
      </c>
      <c r="F15" s="127">
        <v>45036</v>
      </c>
      <c r="O15" s="20"/>
      <c r="P15" s="20"/>
      <c r="Q15" s="117"/>
      <c r="R15" s="117"/>
    </row>
    <row r="16" spans="1:20" ht="15" x14ac:dyDescent="0.25">
      <c r="A16" t="s">
        <v>44</v>
      </c>
      <c r="B16" s="22" t="s">
        <v>27</v>
      </c>
      <c r="C16" s="127">
        <v>45077</v>
      </c>
      <c r="D16" s="127">
        <v>45097</v>
      </c>
      <c r="E16" s="127">
        <v>45017</v>
      </c>
      <c r="F16" s="127">
        <v>45036</v>
      </c>
      <c r="O16" s="20"/>
      <c r="P16" s="20"/>
      <c r="Q16" s="117"/>
      <c r="R16" s="117"/>
    </row>
    <row r="17" spans="1:18" ht="15" x14ac:dyDescent="0.25">
      <c r="A17" t="s">
        <v>45</v>
      </c>
      <c r="B17" s="22" t="s">
        <v>27</v>
      </c>
      <c r="C17" s="127">
        <v>45071</v>
      </c>
      <c r="D17" s="20">
        <v>45102</v>
      </c>
      <c r="E17" s="127">
        <v>45017</v>
      </c>
      <c r="F17" s="390">
        <v>45036</v>
      </c>
      <c r="O17" s="20"/>
      <c r="P17" s="20"/>
      <c r="Q17" s="117"/>
      <c r="R17" s="118"/>
    </row>
    <row r="18" spans="1:18" ht="15" x14ac:dyDescent="0.25">
      <c r="A18" t="s">
        <v>46</v>
      </c>
      <c r="B18" s="22" t="s">
        <v>28</v>
      </c>
      <c r="C18" s="127">
        <v>45071</v>
      </c>
      <c r="D18" s="127">
        <v>45102</v>
      </c>
      <c r="E18" s="127">
        <v>45017</v>
      </c>
      <c r="F18" s="127">
        <v>45031</v>
      </c>
      <c r="O18" s="20"/>
      <c r="P18" s="20"/>
      <c r="Q18" s="117"/>
      <c r="R18" s="117"/>
    </row>
    <row r="19" spans="1:18" ht="15" x14ac:dyDescent="0.25">
      <c r="A19" t="s">
        <v>47</v>
      </c>
      <c r="B19" s="22" t="s">
        <v>27</v>
      </c>
      <c r="C19" s="127">
        <v>45071</v>
      </c>
      <c r="D19" s="127">
        <v>45097</v>
      </c>
      <c r="E19" s="127">
        <v>45017</v>
      </c>
      <c r="F19" s="127">
        <v>45036</v>
      </c>
      <c r="O19" s="20"/>
      <c r="P19" s="20"/>
      <c r="Q19" s="117"/>
      <c r="R19" s="117"/>
    </row>
    <row r="20" spans="1:18" ht="15" x14ac:dyDescent="0.25">
      <c r="A20" t="s">
        <v>48</v>
      </c>
      <c r="B20" s="22" t="s">
        <v>28</v>
      </c>
      <c r="C20" s="127"/>
      <c r="D20" s="20"/>
      <c r="E20" s="117"/>
      <c r="F20" s="118"/>
      <c r="O20" s="20"/>
      <c r="P20" s="20"/>
      <c r="Q20" s="117"/>
      <c r="R20" s="118"/>
    </row>
    <row r="21" spans="1:18" ht="15" x14ac:dyDescent="0.25">
      <c r="A21" t="s">
        <v>49</v>
      </c>
      <c r="B21" s="22" t="s">
        <v>27</v>
      </c>
      <c r="C21" s="127">
        <v>45071</v>
      </c>
      <c r="D21" s="127">
        <v>45102</v>
      </c>
      <c r="E21" s="127">
        <v>45017</v>
      </c>
      <c r="F21" s="127">
        <v>45036</v>
      </c>
      <c r="O21" s="20"/>
      <c r="P21" s="20"/>
      <c r="Q21" s="117"/>
      <c r="R21" s="117"/>
    </row>
    <row r="22" spans="1:18" ht="15" x14ac:dyDescent="0.25">
      <c r="A22" t="s">
        <v>50</v>
      </c>
      <c r="B22" s="22" t="s">
        <v>28</v>
      </c>
      <c r="C22" s="127">
        <v>45071</v>
      </c>
      <c r="D22" s="127">
        <v>45102</v>
      </c>
      <c r="E22" s="127">
        <v>45017</v>
      </c>
      <c r="F22" s="127">
        <v>45036</v>
      </c>
      <c r="O22" s="20"/>
      <c r="P22" s="20"/>
      <c r="Q22" s="117"/>
      <c r="R22" s="117"/>
    </row>
    <row r="23" spans="1:18" ht="15" x14ac:dyDescent="0.25">
      <c r="A23" t="s">
        <v>51</v>
      </c>
      <c r="B23" s="22" t="s">
        <v>27</v>
      </c>
      <c r="C23" s="127">
        <v>45071</v>
      </c>
      <c r="D23" s="127">
        <v>45097</v>
      </c>
      <c r="E23" s="127">
        <v>45017</v>
      </c>
      <c r="F23" s="127">
        <v>45036</v>
      </c>
      <c r="O23" s="20"/>
      <c r="P23" s="20"/>
      <c r="Q23" s="117"/>
      <c r="R23" s="117"/>
    </row>
    <row r="24" spans="1:18" ht="15" x14ac:dyDescent="0.25">
      <c r="A24" t="s">
        <v>52</v>
      </c>
      <c r="B24" s="22" t="s">
        <v>28</v>
      </c>
      <c r="C24" s="127">
        <v>45061</v>
      </c>
      <c r="D24" s="20"/>
      <c r="E24" s="127">
        <v>45005</v>
      </c>
      <c r="F24" s="118"/>
      <c r="O24" s="20"/>
      <c r="P24" s="20"/>
      <c r="Q24" s="117"/>
      <c r="R24" s="118"/>
    </row>
    <row r="25" spans="1:18" ht="15" x14ac:dyDescent="0.25">
      <c r="A25" t="s">
        <v>53</v>
      </c>
      <c r="B25" s="22" t="s">
        <v>27</v>
      </c>
      <c r="C25" s="127">
        <v>45077</v>
      </c>
      <c r="D25" s="127">
        <v>45097</v>
      </c>
      <c r="E25" s="127">
        <v>45021</v>
      </c>
      <c r="F25" s="127">
        <v>45036</v>
      </c>
      <c r="O25" s="20"/>
      <c r="P25" s="20"/>
      <c r="Q25" s="117"/>
      <c r="R25" s="117"/>
    </row>
    <row r="26" spans="1:18" ht="15" x14ac:dyDescent="0.25">
      <c r="A26" t="s">
        <v>54</v>
      </c>
      <c r="B26" s="22" t="s">
        <v>27</v>
      </c>
      <c r="C26" s="127">
        <v>45071</v>
      </c>
      <c r="D26" s="127">
        <v>45097</v>
      </c>
      <c r="E26" s="127">
        <v>45017</v>
      </c>
      <c r="F26" s="127">
        <v>45036</v>
      </c>
      <c r="O26" s="20"/>
      <c r="P26" s="20"/>
      <c r="Q26" s="117"/>
      <c r="R26" s="117"/>
    </row>
    <row r="27" spans="1:18" ht="15" x14ac:dyDescent="0.25">
      <c r="A27" t="s">
        <v>55</v>
      </c>
      <c r="B27" s="22" t="s">
        <v>27</v>
      </c>
      <c r="C27" s="127">
        <v>45071</v>
      </c>
      <c r="D27" s="127">
        <v>45097</v>
      </c>
      <c r="E27" s="127">
        <v>45021</v>
      </c>
      <c r="F27" s="127">
        <v>45036</v>
      </c>
      <c r="O27" s="20"/>
      <c r="P27" s="20"/>
      <c r="Q27" s="117"/>
      <c r="R27" s="117"/>
    </row>
    <row r="28" spans="1:18" ht="15" x14ac:dyDescent="0.25">
      <c r="A28" t="s">
        <v>56</v>
      </c>
      <c r="B28" s="22" t="s">
        <v>27</v>
      </c>
      <c r="C28" s="127">
        <v>45071</v>
      </c>
      <c r="D28" s="127">
        <v>45102</v>
      </c>
      <c r="E28" s="127">
        <v>45017</v>
      </c>
      <c r="F28" s="127">
        <v>45036</v>
      </c>
      <c r="O28" s="20"/>
      <c r="P28" s="20"/>
      <c r="Q28" s="117"/>
      <c r="R28" s="117"/>
    </row>
    <row r="29" spans="1:18" ht="15" x14ac:dyDescent="0.25">
      <c r="A29" t="s">
        <v>57</v>
      </c>
      <c r="B29" s="22" t="s">
        <v>27</v>
      </c>
      <c r="C29" s="127">
        <v>45071</v>
      </c>
      <c r="D29" s="127">
        <v>45102</v>
      </c>
      <c r="E29" s="127">
        <v>45017</v>
      </c>
      <c r="F29" s="127">
        <v>45036</v>
      </c>
      <c r="O29" s="20"/>
      <c r="P29" s="20"/>
      <c r="Q29" s="117"/>
      <c r="R29" s="117"/>
    </row>
    <row r="30" spans="1:18" ht="15" x14ac:dyDescent="0.25">
      <c r="A30" t="s">
        <v>58</v>
      </c>
      <c r="B30" s="22" t="s">
        <v>28</v>
      </c>
      <c r="C30" s="127">
        <v>45071</v>
      </c>
      <c r="D30" s="127">
        <v>45102</v>
      </c>
      <c r="E30" s="127">
        <v>45017</v>
      </c>
      <c r="F30" s="127">
        <v>45036</v>
      </c>
      <c r="O30" s="20"/>
      <c r="P30" s="20"/>
      <c r="Q30" s="117"/>
      <c r="R30" s="117"/>
    </row>
    <row r="31" spans="1:18" ht="15" x14ac:dyDescent="0.25">
      <c r="A31" t="s">
        <v>59</v>
      </c>
      <c r="B31" s="22" t="s">
        <v>28</v>
      </c>
      <c r="C31" s="127">
        <v>45061</v>
      </c>
      <c r="D31" s="127">
        <v>45107</v>
      </c>
      <c r="E31" s="127">
        <v>45005</v>
      </c>
      <c r="F31" s="127">
        <v>45041</v>
      </c>
      <c r="O31" s="20"/>
      <c r="P31" s="20"/>
      <c r="Q31" s="117"/>
      <c r="R31" s="117"/>
    </row>
    <row r="32" spans="1:18" ht="15" x14ac:dyDescent="0.25">
      <c r="A32" t="s">
        <v>60</v>
      </c>
      <c r="B32" s="22" t="s">
        <v>28</v>
      </c>
      <c r="C32" s="127">
        <v>45071</v>
      </c>
      <c r="D32" s="20">
        <v>45102</v>
      </c>
      <c r="E32" s="127">
        <v>45017</v>
      </c>
      <c r="F32" s="389">
        <v>45036</v>
      </c>
      <c r="O32" s="20"/>
      <c r="P32" s="20"/>
      <c r="Q32" s="117"/>
      <c r="R32" s="118"/>
    </row>
    <row r="33" spans="1:18" ht="15" x14ac:dyDescent="0.25">
      <c r="A33" t="s">
        <v>61</v>
      </c>
      <c r="B33" s="22" t="s">
        <v>27</v>
      </c>
      <c r="C33" s="127">
        <v>45071</v>
      </c>
      <c r="D33" s="127">
        <v>45097</v>
      </c>
      <c r="E33" s="127">
        <v>45021</v>
      </c>
      <c r="F33" s="127">
        <v>45036</v>
      </c>
      <c r="O33" s="20"/>
      <c r="P33" s="20"/>
      <c r="Q33" s="117"/>
      <c r="R33" s="117"/>
    </row>
    <row r="34" spans="1:18" ht="15" x14ac:dyDescent="0.25">
      <c r="A34" t="s">
        <v>62</v>
      </c>
      <c r="B34" s="22" t="s">
        <v>27</v>
      </c>
      <c r="C34" s="127">
        <v>45071</v>
      </c>
      <c r="D34" s="127">
        <v>45097</v>
      </c>
      <c r="E34" s="127">
        <v>45021</v>
      </c>
      <c r="F34" s="127">
        <v>45036</v>
      </c>
      <c r="O34" s="20"/>
      <c r="P34" s="20"/>
      <c r="Q34" s="117"/>
      <c r="R34" s="117"/>
    </row>
    <row r="35" spans="1:18" ht="15" x14ac:dyDescent="0.25">
      <c r="A35" t="s">
        <v>63</v>
      </c>
      <c r="B35" s="22" t="s">
        <v>28</v>
      </c>
      <c r="C35" s="127">
        <v>45071</v>
      </c>
      <c r="D35" s="20"/>
      <c r="E35" s="127">
        <v>45017</v>
      </c>
      <c r="F35" s="118"/>
      <c r="O35" s="20"/>
      <c r="P35" s="20"/>
      <c r="Q35" s="117"/>
      <c r="R35" s="118"/>
    </row>
    <row r="36" spans="1:18" ht="15" x14ac:dyDescent="0.25">
      <c r="A36" t="s">
        <v>64</v>
      </c>
      <c r="B36" s="22" t="s">
        <v>28</v>
      </c>
      <c r="C36" s="20"/>
      <c r="D36" s="20"/>
      <c r="E36" s="127">
        <v>45017</v>
      </c>
      <c r="F36" s="118"/>
      <c r="O36" s="20"/>
      <c r="P36" s="20"/>
      <c r="Q36" s="117"/>
      <c r="R36" s="118"/>
    </row>
    <row r="37" spans="1:18" ht="15" x14ac:dyDescent="0.25">
      <c r="A37" t="s">
        <v>65</v>
      </c>
      <c r="B37" s="22" t="s">
        <v>28</v>
      </c>
      <c r="C37" s="127">
        <v>45056</v>
      </c>
      <c r="D37" s="127">
        <v>45107</v>
      </c>
      <c r="E37" s="127">
        <v>45005</v>
      </c>
      <c r="F37" s="127">
        <v>45031</v>
      </c>
      <c r="O37" s="20"/>
      <c r="P37" s="20"/>
      <c r="Q37" s="117"/>
      <c r="R37" s="117"/>
    </row>
    <row r="38" spans="1:18" ht="15" x14ac:dyDescent="0.25">
      <c r="A38" t="s">
        <v>66</v>
      </c>
      <c r="B38" s="22" t="s">
        <v>27</v>
      </c>
      <c r="C38" s="127">
        <v>45077</v>
      </c>
      <c r="D38" s="127">
        <v>45097</v>
      </c>
      <c r="E38" s="127">
        <v>45017</v>
      </c>
      <c r="F38" s="127">
        <v>45036</v>
      </c>
      <c r="O38" s="20"/>
      <c r="P38" s="20"/>
      <c r="Q38" s="117"/>
      <c r="R38" s="117"/>
    </row>
    <row r="39" spans="1:18" ht="15" x14ac:dyDescent="0.25">
      <c r="A39" t="s">
        <v>67</v>
      </c>
      <c r="B39" s="22" t="s">
        <v>27</v>
      </c>
      <c r="C39" s="127">
        <v>45077</v>
      </c>
      <c r="D39" s="127">
        <v>45097</v>
      </c>
      <c r="E39" s="127">
        <v>45017</v>
      </c>
      <c r="F39" s="127">
        <v>45036</v>
      </c>
      <c r="O39" s="20"/>
      <c r="P39" s="20"/>
      <c r="Q39" s="117"/>
      <c r="R39" s="117"/>
    </row>
    <row r="40" spans="1:18" ht="15" x14ac:dyDescent="0.25">
      <c r="A40" t="s">
        <v>68</v>
      </c>
      <c r="B40" s="22" t="s">
        <v>27</v>
      </c>
      <c r="C40" s="127">
        <v>45071</v>
      </c>
      <c r="D40" s="127">
        <v>45097</v>
      </c>
      <c r="E40" s="127">
        <v>45021</v>
      </c>
      <c r="F40" s="127">
        <v>45036</v>
      </c>
      <c r="O40" s="20"/>
      <c r="P40" s="20"/>
      <c r="Q40" s="117"/>
      <c r="R40" s="117"/>
    </row>
    <row r="41" spans="1:18" ht="15" x14ac:dyDescent="0.25">
      <c r="A41" t="s">
        <v>69</v>
      </c>
      <c r="B41" s="22" t="s">
        <v>28</v>
      </c>
      <c r="C41" s="127">
        <v>45061</v>
      </c>
      <c r="D41" s="127">
        <v>45107</v>
      </c>
      <c r="E41" s="127">
        <v>45005</v>
      </c>
      <c r="F41" s="127">
        <v>45041</v>
      </c>
      <c r="O41" s="20"/>
      <c r="P41" s="20"/>
      <c r="Q41" s="117"/>
      <c r="R41" s="117"/>
    </row>
    <row r="42" spans="1:18" ht="15" x14ac:dyDescent="0.25">
      <c r="A42" t="s">
        <v>70</v>
      </c>
      <c r="B42" s="22" t="s">
        <v>27</v>
      </c>
      <c r="C42" s="127">
        <v>45071</v>
      </c>
      <c r="D42" s="127">
        <v>45097</v>
      </c>
      <c r="E42" s="127">
        <v>45021</v>
      </c>
      <c r="F42" s="127">
        <v>45036</v>
      </c>
      <c r="O42" s="20"/>
      <c r="P42" s="20"/>
      <c r="Q42" s="117"/>
      <c r="R42" s="117"/>
    </row>
    <row r="43" spans="1:18" ht="15" x14ac:dyDescent="0.25">
      <c r="A43" t="s">
        <v>71</v>
      </c>
      <c r="B43" s="22" t="s">
        <v>27</v>
      </c>
      <c r="C43" s="127">
        <v>45071</v>
      </c>
      <c r="D43" s="127">
        <v>45097</v>
      </c>
      <c r="E43" s="127">
        <v>45021</v>
      </c>
      <c r="F43" s="127">
        <v>45036</v>
      </c>
      <c r="O43" s="20"/>
      <c r="P43" s="20"/>
      <c r="Q43" s="117"/>
      <c r="R43" s="117"/>
    </row>
    <row r="44" spans="1:18" ht="15" x14ac:dyDescent="0.25">
      <c r="A44" t="s">
        <v>72</v>
      </c>
      <c r="B44" s="22" t="s">
        <v>27</v>
      </c>
      <c r="C44" s="127">
        <v>45071</v>
      </c>
      <c r="D44" s="127">
        <v>45102</v>
      </c>
      <c r="E44" s="127">
        <v>45017</v>
      </c>
      <c r="F44" s="127">
        <v>45036</v>
      </c>
      <c r="O44" s="20"/>
      <c r="P44" s="20"/>
      <c r="Q44" s="117"/>
      <c r="R44" s="117"/>
    </row>
    <row r="45" spans="1:18" ht="15" x14ac:dyDescent="0.25">
      <c r="A45" t="s">
        <v>73</v>
      </c>
      <c r="B45" s="22" t="s">
        <v>28</v>
      </c>
      <c r="C45" s="127">
        <v>45071</v>
      </c>
      <c r="D45" s="127">
        <v>45102</v>
      </c>
      <c r="E45" s="127">
        <v>45017</v>
      </c>
      <c r="F45" s="127">
        <v>45036</v>
      </c>
      <c r="O45" s="20"/>
      <c r="P45" s="20"/>
      <c r="Q45" s="117"/>
      <c r="R45" s="117"/>
    </row>
    <row r="46" spans="1:18" ht="15" x14ac:dyDescent="0.25">
      <c r="A46" t="s">
        <v>74</v>
      </c>
      <c r="B46" s="22" t="s">
        <v>27</v>
      </c>
      <c r="C46" s="127">
        <v>45071</v>
      </c>
      <c r="D46" s="127">
        <v>45097</v>
      </c>
      <c r="E46" s="127">
        <v>45021</v>
      </c>
      <c r="F46" s="127">
        <v>45036</v>
      </c>
      <c r="O46" s="20"/>
      <c r="P46" s="20"/>
      <c r="Q46" s="117"/>
      <c r="R46" s="117"/>
    </row>
    <row r="47" spans="1:18" ht="15" x14ac:dyDescent="0.25">
      <c r="A47" t="s">
        <v>75</v>
      </c>
      <c r="B47" s="22" t="s">
        <v>27</v>
      </c>
      <c r="C47" s="127">
        <v>45071</v>
      </c>
      <c r="D47" s="127">
        <v>45097</v>
      </c>
      <c r="E47" s="127">
        <v>45017</v>
      </c>
      <c r="F47" s="127">
        <v>45036</v>
      </c>
      <c r="O47" s="20"/>
      <c r="P47" s="20"/>
      <c r="Q47" s="117"/>
      <c r="R47" s="117"/>
    </row>
    <row r="48" spans="1:18" ht="15" x14ac:dyDescent="0.25">
      <c r="A48" t="s">
        <v>76</v>
      </c>
      <c r="B48" s="22" t="s">
        <v>28</v>
      </c>
      <c r="C48" s="20"/>
      <c r="D48" s="20"/>
      <c r="E48" s="127">
        <v>45017</v>
      </c>
      <c r="F48" s="390">
        <v>45041</v>
      </c>
      <c r="O48" s="20"/>
      <c r="P48" s="20"/>
      <c r="Q48" s="117"/>
      <c r="R48" s="118"/>
    </row>
    <row r="49" spans="1:18" ht="15" x14ac:dyDescent="0.25">
      <c r="A49" t="s">
        <v>77</v>
      </c>
      <c r="B49" s="22" t="s">
        <v>28</v>
      </c>
      <c r="C49" s="20"/>
      <c r="D49" s="20"/>
      <c r="E49" s="117"/>
      <c r="F49" s="118"/>
      <c r="O49" s="20"/>
      <c r="P49" s="20"/>
      <c r="Q49" s="117"/>
      <c r="R49" s="118"/>
    </row>
    <row r="50" spans="1:18" ht="15" x14ac:dyDescent="0.25">
      <c r="A50" t="s">
        <v>78</v>
      </c>
      <c r="B50" s="22" t="s">
        <v>27</v>
      </c>
      <c r="C50" s="127">
        <v>45071</v>
      </c>
      <c r="D50" s="127">
        <v>45102</v>
      </c>
      <c r="E50" s="127">
        <v>45017</v>
      </c>
      <c r="F50" s="127">
        <v>45036</v>
      </c>
      <c r="O50" s="20"/>
      <c r="P50" s="20"/>
      <c r="Q50" s="117"/>
      <c r="R50" s="117"/>
    </row>
    <row r="51" spans="1:18" ht="15" x14ac:dyDescent="0.25">
      <c r="A51" t="s">
        <v>79</v>
      </c>
      <c r="B51" s="22" t="s">
        <v>28</v>
      </c>
      <c r="C51" s="127">
        <v>45061</v>
      </c>
      <c r="D51" s="127">
        <v>45107</v>
      </c>
      <c r="E51" s="127">
        <v>45005</v>
      </c>
      <c r="F51" s="127">
        <v>45041</v>
      </c>
      <c r="O51" s="20"/>
      <c r="P51" s="20"/>
      <c r="Q51" s="117"/>
      <c r="R51" s="117"/>
    </row>
    <row r="52" spans="1:18" ht="15" x14ac:dyDescent="0.25">
      <c r="A52" t="s">
        <v>80</v>
      </c>
      <c r="B52" s="22" t="s">
        <v>27</v>
      </c>
      <c r="C52" s="127">
        <v>45071</v>
      </c>
      <c r="D52" s="127">
        <v>45097</v>
      </c>
      <c r="E52" s="127">
        <v>45017</v>
      </c>
      <c r="F52" s="127">
        <v>45036</v>
      </c>
      <c r="O52" s="20"/>
      <c r="P52" s="20"/>
      <c r="Q52" s="117"/>
      <c r="R52" s="117"/>
    </row>
    <row r="53" spans="1:18" ht="15" x14ac:dyDescent="0.25">
      <c r="A53" t="s">
        <v>81</v>
      </c>
      <c r="B53" s="22" t="s">
        <v>27</v>
      </c>
      <c r="C53" s="127">
        <v>45071</v>
      </c>
      <c r="D53" s="127">
        <v>45102</v>
      </c>
      <c r="E53" s="127">
        <v>45017</v>
      </c>
      <c r="F53" s="127">
        <v>45036</v>
      </c>
      <c r="O53" s="20"/>
      <c r="P53" s="20"/>
      <c r="Q53" s="117"/>
      <c r="R53" s="117"/>
    </row>
    <row r="54" spans="1:18" ht="15" x14ac:dyDescent="0.25">
      <c r="A54" t="s">
        <v>82</v>
      </c>
      <c r="B54" s="22" t="s">
        <v>27</v>
      </c>
      <c r="C54" s="127">
        <v>45077</v>
      </c>
      <c r="D54" s="127">
        <v>45097</v>
      </c>
      <c r="E54" s="127">
        <v>45021</v>
      </c>
      <c r="F54" s="127">
        <v>45036</v>
      </c>
      <c r="O54" s="20"/>
      <c r="P54" s="20"/>
      <c r="Q54" s="117"/>
      <c r="R54" s="117"/>
    </row>
    <row r="55" spans="1:18" ht="15" x14ac:dyDescent="0.25">
      <c r="A55" t="s">
        <v>83</v>
      </c>
      <c r="B55" s="22" t="s">
        <v>28</v>
      </c>
      <c r="C55" s="127">
        <v>45071</v>
      </c>
      <c r="D55" s="127">
        <v>45102</v>
      </c>
      <c r="E55" s="127">
        <v>45017</v>
      </c>
      <c r="F55" s="127">
        <v>45036</v>
      </c>
      <c r="O55" s="20"/>
      <c r="P55" s="20"/>
      <c r="Q55" s="117"/>
      <c r="R55" s="117"/>
    </row>
    <row r="56" spans="1:18" ht="15" x14ac:dyDescent="0.25">
      <c r="A56" t="s">
        <v>84</v>
      </c>
      <c r="B56" s="22" t="s">
        <v>27</v>
      </c>
      <c r="C56" s="127">
        <v>45071</v>
      </c>
      <c r="D56" s="127">
        <v>45097</v>
      </c>
      <c r="E56" s="127">
        <v>45017</v>
      </c>
      <c r="F56" s="127">
        <v>45036</v>
      </c>
      <c r="O56" s="20"/>
      <c r="P56" s="20"/>
      <c r="Q56" s="117"/>
      <c r="R56" s="117"/>
    </row>
    <row r="57" spans="1:18" ht="15" x14ac:dyDescent="0.25">
      <c r="A57" t="s">
        <v>85</v>
      </c>
      <c r="B57" s="22" t="s">
        <v>28</v>
      </c>
      <c r="C57" s="127">
        <v>45061</v>
      </c>
      <c r="D57" s="127">
        <v>45107</v>
      </c>
      <c r="E57" s="127">
        <v>45005</v>
      </c>
      <c r="F57" s="127">
        <v>45041</v>
      </c>
      <c r="O57" s="20"/>
      <c r="P57" s="20"/>
      <c r="Q57" s="117"/>
      <c r="R57" s="117"/>
    </row>
    <row r="58" spans="1:18" ht="15" x14ac:dyDescent="0.25">
      <c r="A58" t="s">
        <v>86</v>
      </c>
      <c r="B58" s="22" t="s">
        <v>27</v>
      </c>
      <c r="C58" s="127">
        <v>45077</v>
      </c>
      <c r="D58" s="127">
        <v>45097</v>
      </c>
      <c r="E58" s="127">
        <v>45021</v>
      </c>
      <c r="F58" s="127">
        <v>45036</v>
      </c>
      <c r="O58" s="20"/>
      <c r="P58" s="20"/>
      <c r="Q58" s="117"/>
      <c r="R58" s="117"/>
    </row>
    <row r="59" spans="1:18" ht="15" x14ac:dyDescent="0.25">
      <c r="A59" t="s">
        <v>87</v>
      </c>
      <c r="B59" s="22" t="s">
        <v>27</v>
      </c>
      <c r="C59" s="127">
        <v>45077</v>
      </c>
      <c r="D59" s="127">
        <v>45097</v>
      </c>
      <c r="E59" s="127">
        <v>45017</v>
      </c>
      <c r="F59" s="127">
        <v>45036</v>
      </c>
      <c r="O59" s="20"/>
      <c r="P59" s="20"/>
      <c r="Q59" s="117"/>
      <c r="R59" s="117"/>
    </row>
    <row r="60" spans="1:18" ht="15" x14ac:dyDescent="0.25">
      <c r="A60" t="s">
        <v>88</v>
      </c>
      <c r="B60" s="22" t="s">
        <v>27</v>
      </c>
      <c r="C60" s="127">
        <v>45071</v>
      </c>
      <c r="D60" s="127">
        <v>45097</v>
      </c>
      <c r="E60" s="127">
        <v>45021</v>
      </c>
      <c r="F60" s="127">
        <v>45036</v>
      </c>
      <c r="O60" s="20"/>
      <c r="P60" s="20"/>
      <c r="Q60" s="117"/>
      <c r="R60" s="117"/>
    </row>
    <row r="61" spans="1:18" ht="15" x14ac:dyDescent="0.25">
      <c r="A61" t="s">
        <v>89</v>
      </c>
      <c r="B61" s="22" t="s">
        <v>27</v>
      </c>
      <c r="C61" s="127">
        <v>45071</v>
      </c>
      <c r="D61" s="127">
        <v>45097</v>
      </c>
      <c r="E61" s="127">
        <v>45021</v>
      </c>
      <c r="F61" s="127">
        <v>45036</v>
      </c>
      <c r="O61" s="20"/>
      <c r="P61" s="20"/>
      <c r="Q61" s="117"/>
      <c r="R61" s="117"/>
    </row>
    <row r="62" spans="1:18" ht="15" x14ac:dyDescent="0.25">
      <c r="A62" t="s">
        <v>90</v>
      </c>
      <c r="B62" s="22" t="s">
        <v>27</v>
      </c>
      <c r="C62" s="127">
        <v>45077</v>
      </c>
      <c r="D62" s="127">
        <v>45097</v>
      </c>
      <c r="E62" s="127">
        <v>45021</v>
      </c>
      <c r="F62" s="127">
        <v>45036</v>
      </c>
      <c r="O62" s="20"/>
      <c r="P62" s="20"/>
      <c r="Q62" s="117"/>
      <c r="R62" s="117"/>
    </row>
    <row r="63" spans="1:18" ht="15" x14ac:dyDescent="0.25">
      <c r="A63" t="s">
        <v>91</v>
      </c>
      <c r="B63" s="22" t="s">
        <v>28</v>
      </c>
      <c r="C63" s="127">
        <v>45071</v>
      </c>
      <c r="D63" s="127">
        <v>45102</v>
      </c>
      <c r="E63" s="127">
        <v>45017</v>
      </c>
      <c r="F63" s="127">
        <v>45036</v>
      </c>
      <c r="O63" s="20"/>
      <c r="P63" s="20"/>
      <c r="Q63" s="117"/>
      <c r="R63" s="117"/>
    </row>
    <row r="64" spans="1:18" ht="15" x14ac:dyDescent="0.25">
      <c r="A64" t="s">
        <v>92</v>
      </c>
      <c r="B64" s="22" t="s">
        <v>27</v>
      </c>
      <c r="C64" s="127">
        <v>45071</v>
      </c>
      <c r="D64" s="127">
        <v>45102</v>
      </c>
      <c r="E64" s="127">
        <v>45017</v>
      </c>
      <c r="F64" s="127">
        <v>45036</v>
      </c>
      <c r="O64" s="20"/>
      <c r="P64" s="20"/>
      <c r="Q64" s="117"/>
      <c r="R64" s="117"/>
    </row>
    <row r="65" spans="1:18" ht="15" x14ac:dyDescent="0.25">
      <c r="A65" t="s">
        <v>93</v>
      </c>
      <c r="B65" s="22" t="s">
        <v>27</v>
      </c>
      <c r="C65" s="127">
        <v>45077</v>
      </c>
      <c r="D65" s="127">
        <v>45097</v>
      </c>
      <c r="E65" s="127">
        <v>45021</v>
      </c>
      <c r="F65" s="127">
        <v>45036</v>
      </c>
      <c r="O65" s="20"/>
      <c r="P65" s="20"/>
      <c r="Q65" s="117"/>
      <c r="R65" s="117"/>
    </row>
    <row r="66" spans="1:18" ht="15" x14ac:dyDescent="0.25">
      <c r="A66" t="s">
        <v>94</v>
      </c>
      <c r="B66" s="22" t="s">
        <v>28</v>
      </c>
      <c r="C66" s="127">
        <v>45061</v>
      </c>
      <c r="D66" s="20">
        <v>45107</v>
      </c>
      <c r="E66" s="127">
        <v>45005</v>
      </c>
      <c r="F66" s="390">
        <v>45041</v>
      </c>
      <c r="O66" s="20"/>
      <c r="P66" s="20"/>
      <c r="Q66" s="117"/>
      <c r="R66" s="118"/>
    </row>
    <row r="67" spans="1:18" ht="15" x14ac:dyDescent="0.25">
      <c r="A67" t="s">
        <v>95</v>
      </c>
      <c r="B67" s="22" t="s">
        <v>27</v>
      </c>
      <c r="C67" s="127">
        <v>45071</v>
      </c>
      <c r="D67" s="127">
        <v>45097</v>
      </c>
      <c r="E67" s="127">
        <v>45021</v>
      </c>
      <c r="F67" s="127">
        <v>45036</v>
      </c>
      <c r="O67" s="20"/>
      <c r="P67" s="20"/>
      <c r="Q67" s="117"/>
      <c r="R67" s="117"/>
    </row>
    <row r="68" spans="1:18" ht="15" x14ac:dyDescent="0.25">
      <c r="A68" t="s">
        <v>96</v>
      </c>
      <c r="B68" s="22" t="s">
        <v>27</v>
      </c>
      <c r="C68" s="127">
        <v>45071</v>
      </c>
      <c r="D68" s="127">
        <v>45102</v>
      </c>
      <c r="E68" s="127">
        <v>45017</v>
      </c>
      <c r="F68" s="127">
        <v>45036</v>
      </c>
      <c r="O68" s="20"/>
      <c r="P68" s="20"/>
      <c r="Q68" s="117"/>
      <c r="R68" s="117"/>
    </row>
    <row r="69" spans="1:18" ht="15" x14ac:dyDescent="0.25">
      <c r="A69" t="s">
        <v>97</v>
      </c>
      <c r="B69" s="22" t="s">
        <v>28</v>
      </c>
      <c r="C69" s="127">
        <v>45056</v>
      </c>
      <c r="D69" s="127">
        <v>45107</v>
      </c>
      <c r="E69" s="127">
        <v>45005</v>
      </c>
      <c r="F69" s="127">
        <v>45031</v>
      </c>
      <c r="O69" s="20"/>
      <c r="P69" s="20"/>
      <c r="Q69" s="117"/>
      <c r="R69" s="117"/>
    </row>
    <row r="70" spans="1:18" ht="15" x14ac:dyDescent="0.25">
      <c r="A70" t="s">
        <v>98</v>
      </c>
      <c r="B70" s="22" t="s">
        <v>27</v>
      </c>
      <c r="C70" s="127">
        <v>45071</v>
      </c>
      <c r="D70" s="127">
        <v>45102</v>
      </c>
      <c r="E70" s="127">
        <v>45017</v>
      </c>
      <c r="F70" s="127">
        <v>45036</v>
      </c>
      <c r="O70" s="20"/>
      <c r="P70" s="20"/>
      <c r="Q70" s="117"/>
      <c r="R70" s="117"/>
    </row>
    <row r="71" spans="1:18" ht="15" x14ac:dyDescent="0.25">
      <c r="A71" t="s">
        <v>99</v>
      </c>
      <c r="B71" s="22" t="s">
        <v>27</v>
      </c>
      <c r="C71" s="127">
        <v>45077</v>
      </c>
      <c r="D71" s="127">
        <v>45097</v>
      </c>
      <c r="E71" s="127">
        <v>45017</v>
      </c>
      <c r="F71" s="127">
        <v>45036</v>
      </c>
      <c r="O71" s="20"/>
      <c r="P71" s="20"/>
      <c r="Q71" s="117"/>
      <c r="R71" s="117"/>
    </row>
    <row r="72" spans="1:18" ht="15" x14ac:dyDescent="0.25">
      <c r="A72" t="s">
        <v>100</v>
      </c>
      <c r="B72" s="22" t="s">
        <v>27</v>
      </c>
      <c r="C72" s="127">
        <v>45077</v>
      </c>
      <c r="D72" s="127">
        <v>45097</v>
      </c>
      <c r="E72" s="127">
        <v>45017</v>
      </c>
      <c r="F72" s="127">
        <v>45036</v>
      </c>
      <c r="O72" s="20"/>
      <c r="P72" s="20"/>
      <c r="Q72" s="117"/>
      <c r="R72" s="117"/>
    </row>
    <row r="73" spans="1:18" ht="15" x14ac:dyDescent="0.25">
      <c r="A73" t="s">
        <v>101</v>
      </c>
      <c r="B73" s="22" t="s">
        <v>27</v>
      </c>
      <c r="C73" s="127">
        <v>45071</v>
      </c>
      <c r="D73" s="127">
        <v>45102</v>
      </c>
      <c r="E73" s="127">
        <v>45017</v>
      </c>
      <c r="F73" s="127">
        <v>45036</v>
      </c>
      <c r="O73" s="20"/>
      <c r="P73" s="20"/>
      <c r="Q73" s="117"/>
      <c r="R73" s="117"/>
    </row>
    <row r="74" spans="1:18" ht="15" x14ac:dyDescent="0.25">
      <c r="A74" t="s">
        <v>102</v>
      </c>
      <c r="B74" s="22" t="s">
        <v>28</v>
      </c>
      <c r="C74" s="127">
        <v>45056</v>
      </c>
      <c r="D74" s="127">
        <v>45107</v>
      </c>
      <c r="E74" s="127">
        <v>45005</v>
      </c>
      <c r="F74" s="127">
        <v>45031</v>
      </c>
      <c r="O74" s="20"/>
      <c r="P74" s="20"/>
      <c r="Q74" s="117"/>
      <c r="R74" s="117"/>
    </row>
    <row r="75" spans="1:18" ht="15" x14ac:dyDescent="0.25">
      <c r="A75" t="s">
        <v>103</v>
      </c>
      <c r="B75" s="22" t="s">
        <v>28</v>
      </c>
      <c r="C75" s="127">
        <v>45061</v>
      </c>
      <c r="D75" s="127">
        <v>45107</v>
      </c>
      <c r="E75" s="127">
        <v>45005</v>
      </c>
      <c r="F75" s="127">
        <v>45041</v>
      </c>
      <c r="O75" s="20"/>
      <c r="P75" s="20"/>
      <c r="Q75" s="117"/>
      <c r="R75" s="117"/>
    </row>
    <row r="76" spans="1:18" ht="15" x14ac:dyDescent="0.25">
      <c r="A76" t="s">
        <v>104</v>
      </c>
      <c r="B76" s="22" t="s">
        <v>27</v>
      </c>
      <c r="C76" s="127">
        <v>45071</v>
      </c>
      <c r="D76" s="127">
        <v>45097</v>
      </c>
      <c r="E76" s="127">
        <v>45021</v>
      </c>
      <c r="F76" s="127">
        <v>45036</v>
      </c>
      <c r="O76" s="20"/>
      <c r="P76" s="20"/>
      <c r="Q76" s="117"/>
      <c r="R76" s="117"/>
    </row>
    <row r="77" spans="1:18" ht="15" x14ac:dyDescent="0.25">
      <c r="A77" t="s">
        <v>105</v>
      </c>
      <c r="B77" s="22" t="s">
        <v>28</v>
      </c>
      <c r="C77" s="20"/>
      <c r="D77" s="20"/>
      <c r="E77" s="117"/>
      <c r="F77" s="118"/>
      <c r="O77" s="20"/>
      <c r="P77" s="20"/>
      <c r="Q77" s="117"/>
      <c r="R77" s="118"/>
    </row>
    <row r="78" spans="1:18" ht="15" x14ac:dyDescent="0.25">
      <c r="A78" t="s">
        <v>106</v>
      </c>
      <c r="B78" s="22" t="s">
        <v>27</v>
      </c>
      <c r="C78" s="127">
        <v>45077</v>
      </c>
      <c r="D78" s="127">
        <v>45097</v>
      </c>
      <c r="E78" s="127">
        <v>45017</v>
      </c>
      <c r="F78" s="127">
        <v>45036</v>
      </c>
      <c r="O78" s="20"/>
      <c r="P78" s="20"/>
      <c r="Q78" s="117"/>
      <c r="R78" s="117"/>
    </row>
    <row r="79" spans="1:18" ht="15" x14ac:dyDescent="0.25">
      <c r="A79" t="s">
        <v>107</v>
      </c>
      <c r="B79" s="22" t="s">
        <v>28</v>
      </c>
      <c r="C79" s="20"/>
      <c r="D79" s="20"/>
      <c r="E79" s="117"/>
      <c r="F79" s="118"/>
      <c r="O79" s="20"/>
      <c r="P79" s="20"/>
      <c r="Q79" s="117"/>
      <c r="R79" s="118"/>
    </row>
    <row r="80" spans="1:18" ht="15" x14ac:dyDescent="0.25">
      <c r="A80" t="s">
        <v>108</v>
      </c>
      <c r="B80" s="22" t="s">
        <v>28</v>
      </c>
      <c r="C80" s="127">
        <v>45056</v>
      </c>
      <c r="D80" s="127">
        <v>45107</v>
      </c>
      <c r="E80" s="127">
        <v>45005</v>
      </c>
      <c r="F80" s="127">
        <v>45031</v>
      </c>
      <c r="O80" s="20"/>
      <c r="P80" s="20"/>
      <c r="Q80" s="117"/>
      <c r="R80" s="117"/>
    </row>
    <row r="81" spans="1:18" ht="15" x14ac:dyDescent="0.25">
      <c r="A81" t="s">
        <v>109</v>
      </c>
      <c r="B81" s="22" t="s">
        <v>28</v>
      </c>
      <c r="C81" s="127">
        <v>45071</v>
      </c>
      <c r="D81" s="127">
        <v>45102</v>
      </c>
      <c r="E81" s="127">
        <v>45017</v>
      </c>
      <c r="F81" s="127">
        <v>45031</v>
      </c>
      <c r="O81" s="20"/>
      <c r="P81" s="20"/>
      <c r="Q81" s="117"/>
      <c r="R81" s="117"/>
    </row>
    <row r="82" spans="1:18" ht="15" x14ac:dyDescent="0.25">
      <c r="A82" t="s">
        <v>110</v>
      </c>
      <c r="B82" s="22" t="s">
        <v>27</v>
      </c>
      <c r="C82" s="127">
        <v>45071</v>
      </c>
      <c r="D82" s="127">
        <v>45102</v>
      </c>
      <c r="E82" s="127">
        <v>45017</v>
      </c>
      <c r="F82" s="127">
        <v>45036</v>
      </c>
      <c r="O82" s="20"/>
      <c r="P82" s="20"/>
      <c r="Q82" s="117"/>
      <c r="R82" s="117"/>
    </row>
    <row r="83" spans="1:18" ht="15" x14ac:dyDescent="0.25">
      <c r="A83" t="s">
        <v>111</v>
      </c>
      <c r="B83" s="22" t="s">
        <v>28</v>
      </c>
      <c r="C83" s="127">
        <v>45071</v>
      </c>
      <c r="D83" s="20">
        <v>45102</v>
      </c>
      <c r="E83" s="127">
        <v>45017</v>
      </c>
      <c r="F83" s="127">
        <v>45036</v>
      </c>
      <c r="O83" s="20"/>
      <c r="P83" s="20"/>
      <c r="Q83" s="117"/>
      <c r="R83" s="118"/>
    </row>
    <row r="84" spans="1:18" ht="15" x14ac:dyDescent="0.25">
      <c r="A84" t="s">
        <v>112</v>
      </c>
      <c r="B84" s="22" t="s">
        <v>27</v>
      </c>
      <c r="C84" s="127">
        <v>45077</v>
      </c>
      <c r="D84" s="127">
        <v>45097</v>
      </c>
      <c r="E84" s="127">
        <v>45017</v>
      </c>
      <c r="F84" s="127">
        <v>45036</v>
      </c>
      <c r="O84" s="20"/>
      <c r="P84" s="20"/>
      <c r="Q84" s="117"/>
      <c r="R84" s="117"/>
    </row>
    <row r="85" spans="1:18" ht="15" x14ac:dyDescent="0.25">
      <c r="A85" t="s">
        <v>113</v>
      </c>
      <c r="B85" s="22" t="s">
        <v>27</v>
      </c>
      <c r="C85" s="127">
        <v>45071</v>
      </c>
      <c r="D85" s="127">
        <v>45097</v>
      </c>
      <c r="E85" s="127">
        <v>45017</v>
      </c>
      <c r="F85" s="127">
        <v>45036</v>
      </c>
      <c r="O85" s="20"/>
      <c r="P85" s="20"/>
      <c r="Q85" s="117"/>
      <c r="R85" s="117"/>
    </row>
    <row r="86" spans="1:18" ht="15" x14ac:dyDescent="0.25">
      <c r="A86" t="s">
        <v>114</v>
      </c>
      <c r="B86" s="22" t="s">
        <v>28</v>
      </c>
      <c r="C86" s="127">
        <v>45071</v>
      </c>
      <c r="D86" s="20">
        <v>45102</v>
      </c>
      <c r="E86" s="127">
        <v>45017</v>
      </c>
      <c r="F86" s="389">
        <v>45036</v>
      </c>
      <c r="O86" s="20"/>
      <c r="P86" s="20"/>
      <c r="Q86" s="117"/>
      <c r="R86" s="118"/>
    </row>
    <row r="87" spans="1:18" ht="15" x14ac:dyDescent="0.25">
      <c r="A87" t="s">
        <v>115</v>
      </c>
      <c r="B87" s="22" t="s">
        <v>28</v>
      </c>
      <c r="C87" s="127">
        <v>45071</v>
      </c>
      <c r="D87" s="20">
        <v>45102</v>
      </c>
      <c r="E87" s="127">
        <v>45017</v>
      </c>
      <c r="F87" s="390">
        <v>45036</v>
      </c>
      <c r="O87" s="20"/>
      <c r="P87" s="20"/>
      <c r="Q87" s="117"/>
      <c r="R87" s="118"/>
    </row>
    <row r="88" spans="1:18" ht="15" x14ac:dyDescent="0.25">
      <c r="A88" t="s">
        <v>116</v>
      </c>
      <c r="B88" s="22" t="s">
        <v>27</v>
      </c>
      <c r="C88" s="127">
        <v>45071</v>
      </c>
      <c r="D88" s="127">
        <v>45097</v>
      </c>
      <c r="E88" s="127">
        <v>45021</v>
      </c>
      <c r="F88" s="127">
        <v>45036</v>
      </c>
      <c r="O88" s="20"/>
      <c r="P88" s="20"/>
      <c r="Q88" s="117"/>
      <c r="R88" s="117"/>
    </row>
    <row r="89" spans="1:18" ht="15" x14ac:dyDescent="0.25">
      <c r="A89" t="s">
        <v>117</v>
      </c>
      <c r="B89" s="22" t="s">
        <v>27</v>
      </c>
      <c r="C89" s="127">
        <v>45077</v>
      </c>
      <c r="D89" s="127">
        <v>45097</v>
      </c>
      <c r="E89" s="127">
        <v>45017</v>
      </c>
      <c r="F89" s="127">
        <v>45036</v>
      </c>
      <c r="O89" s="20"/>
      <c r="P89" s="20"/>
      <c r="Q89" s="117"/>
      <c r="R89" s="117"/>
    </row>
    <row r="90" spans="1:18" ht="15" x14ac:dyDescent="0.25">
      <c r="A90" t="s">
        <v>118</v>
      </c>
      <c r="B90" s="22" t="s">
        <v>27</v>
      </c>
      <c r="C90" s="127">
        <v>45077</v>
      </c>
      <c r="D90" s="127">
        <v>45097</v>
      </c>
      <c r="E90" s="127">
        <v>45017</v>
      </c>
      <c r="F90" s="127">
        <v>45036</v>
      </c>
      <c r="O90" s="20"/>
      <c r="P90" s="20"/>
      <c r="Q90" s="117"/>
      <c r="R90" s="117"/>
    </row>
    <row r="91" spans="1:18" ht="15" x14ac:dyDescent="0.25">
      <c r="A91" t="s">
        <v>119</v>
      </c>
      <c r="B91" s="22" t="s">
        <v>27</v>
      </c>
      <c r="C91" s="127">
        <v>45071</v>
      </c>
      <c r="D91" s="127">
        <v>45097</v>
      </c>
      <c r="E91" s="127">
        <v>45017</v>
      </c>
      <c r="F91" s="127">
        <v>45036</v>
      </c>
      <c r="O91" s="20"/>
      <c r="P91" s="20"/>
      <c r="Q91" s="117"/>
      <c r="R91" s="117"/>
    </row>
    <row r="92" spans="1:18" ht="15" x14ac:dyDescent="0.25">
      <c r="A92" t="s">
        <v>120</v>
      </c>
      <c r="B92" s="22" t="s">
        <v>28</v>
      </c>
      <c r="C92" s="20"/>
      <c r="D92" s="20"/>
      <c r="E92" s="117"/>
      <c r="F92" s="118"/>
      <c r="O92" s="20"/>
      <c r="P92" s="20"/>
      <c r="Q92" s="117"/>
      <c r="R92" s="118"/>
    </row>
    <row r="93" spans="1:18" ht="15" x14ac:dyDescent="0.25">
      <c r="A93" t="s">
        <v>121</v>
      </c>
      <c r="B93" s="22" t="s">
        <v>28</v>
      </c>
      <c r="C93" s="127">
        <v>45056</v>
      </c>
      <c r="D93" s="127">
        <v>45107</v>
      </c>
      <c r="E93" s="127">
        <v>45005</v>
      </c>
      <c r="F93" s="127">
        <v>45031</v>
      </c>
      <c r="O93" s="20"/>
      <c r="P93" s="20"/>
      <c r="Q93" s="117"/>
      <c r="R93" s="117"/>
    </row>
    <row r="94" spans="1:18" ht="15" x14ac:dyDescent="0.25">
      <c r="A94" t="s">
        <v>122</v>
      </c>
      <c r="B94" s="22" t="s">
        <v>27</v>
      </c>
      <c r="C94" s="127">
        <v>45071</v>
      </c>
      <c r="D94" s="127">
        <v>45097</v>
      </c>
      <c r="E94" s="127">
        <v>45017</v>
      </c>
      <c r="F94" s="127">
        <v>45036</v>
      </c>
      <c r="O94" s="20"/>
      <c r="P94" s="20"/>
      <c r="Q94" s="117"/>
      <c r="R94" s="117"/>
    </row>
    <row r="95" spans="1:18" ht="15" x14ac:dyDescent="0.25">
      <c r="A95" t="s">
        <v>123</v>
      </c>
      <c r="B95" s="22" t="s">
        <v>27</v>
      </c>
      <c r="C95" s="127">
        <v>45077</v>
      </c>
      <c r="D95" s="127">
        <v>45097</v>
      </c>
      <c r="E95" s="127">
        <v>45021</v>
      </c>
      <c r="F95" s="127">
        <v>45036</v>
      </c>
      <c r="O95" s="20"/>
      <c r="P95" s="20"/>
      <c r="Q95" s="117"/>
      <c r="R95" s="117"/>
    </row>
    <row r="96" spans="1:18" ht="15" x14ac:dyDescent="0.25">
      <c r="A96" t="s">
        <v>124</v>
      </c>
      <c r="B96" s="22" t="s">
        <v>27</v>
      </c>
      <c r="C96" s="127">
        <v>45077</v>
      </c>
      <c r="D96" s="127">
        <v>45097</v>
      </c>
      <c r="E96" s="127">
        <v>45021</v>
      </c>
      <c r="F96" s="127">
        <v>45036</v>
      </c>
      <c r="O96" s="20"/>
      <c r="P96" s="20"/>
      <c r="Q96" s="117"/>
      <c r="R96" s="117"/>
    </row>
    <row r="97" spans="1:18" ht="15" x14ac:dyDescent="0.25">
      <c r="A97" t="s">
        <v>125</v>
      </c>
      <c r="B97" s="22" t="s">
        <v>28</v>
      </c>
      <c r="C97" s="127">
        <v>45056</v>
      </c>
      <c r="D97" s="127">
        <v>45107</v>
      </c>
      <c r="E97" s="127">
        <v>45005</v>
      </c>
      <c r="F97" s="127">
        <v>45031</v>
      </c>
      <c r="O97" s="20"/>
      <c r="P97" s="20"/>
      <c r="Q97" s="117"/>
      <c r="R97" s="117"/>
    </row>
    <row r="98" spans="1:18" ht="15" x14ac:dyDescent="0.25">
      <c r="A98" t="s">
        <v>126</v>
      </c>
      <c r="B98" s="22" t="s">
        <v>28</v>
      </c>
      <c r="C98" s="20"/>
      <c r="D98" s="20"/>
      <c r="E98" s="117"/>
      <c r="F98" s="118"/>
      <c r="O98" s="20"/>
      <c r="P98" s="20"/>
      <c r="Q98" s="117"/>
      <c r="R98" s="118"/>
    </row>
    <row r="99" spans="1:18" ht="15" x14ac:dyDescent="0.25">
      <c r="A99" t="s">
        <v>127</v>
      </c>
      <c r="B99" s="22" t="s">
        <v>27</v>
      </c>
      <c r="C99" s="127">
        <v>45077</v>
      </c>
      <c r="D99" s="127">
        <v>45097</v>
      </c>
      <c r="E99" s="127">
        <v>45021</v>
      </c>
      <c r="F99" s="127">
        <v>45036</v>
      </c>
      <c r="O99" s="20"/>
      <c r="P99" s="20"/>
      <c r="Q99" s="117"/>
      <c r="R99" s="117"/>
    </row>
    <row r="100" spans="1:18" ht="15" x14ac:dyDescent="0.25">
      <c r="A100" t="s">
        <v>128</v>
      </c>
      <c r="B100" s="22" t="s">
        <v>27</v>
      </c>
      <c r="C100" s="127">
        <v>45077</v>
      </c>
      <c r="D100" s="127">
        <v>45097</v>
      </c>
      <c r="E100" s="127">
        <v>45017</v>
      </c>
      <c r="F100" s="127">
        <v>45036</v>
      </c>
      <c r="O100" s="20"/>
      <c r="P100" s="20"/>
      <c r="Q100" s="117"/>
      <c r="R100" s="117"/>
    </row>
    <row r="101" spans="1:18" ht="15" x14ac:dyDescent="0.25">
      <c r="A101" t="s">
        <v>129</v>
      </c>
      <c r="B101" s="22" t="s">
        <v>28</v>
      </c>
      <c r="C101" s="127">
        <v>45071</v>
      </c>
      <c r="D101" s="127">
        <v>45102</v>
      </c>
      <c r="E101" s="127">
        <v>45017</v>
      </c>
      <c r="F101" s="127">
        <v>45036</v>
      </c>
      <c r="O101" s="20"/>
      <c r="P101" s="20"/>
      <c r="Q101" s="117"/>
      <c r="R101" s="117"/>
    </row>
    <row r="102" spans="1:18" ht="15" x14ac:dyDescent="0.25">
      <c r="A102" t="s">
        <v>130</v>
      </c>
      <c r="B102" s="22" t="s">
        <v>28</v>
      </c>
      <c r="C102" s="127">
        <v>45071</v>
      </c>
      <c r="D102" s="127">
        <v>45102</v>
      </c>
      <c r="E102" s="127">
        <v>45017</v>
      </c>
      <c r="F102" s="127">
        <v>45036</v>
      </c>
      <c r="O102" s="20"/>
      <c r="P102" s="20"/>
      <c r="Q102" s="117"/>
      <c r="R102" s="117"/>
    </row>
    <row r="103" spans="1:18" ht="15" x14ac:dyDescent="0.25">
      <c r="A103" t="s">
        <v>131</v>
      </c>
      <c r="B103" s="22" t="s">
        <v>27</v>
      </c>
      <c r="C103" s="127">
        <v>45077</v>
      </c>
      <c r="D103" s="127">
        <v>45097</v>
      </c>
      <c r="E103" s="127">
        <v>45017</v>
      </c>
      <c r="F103" s="127">
        <v>45036</v>
      </c>
      <c r="O103" s="20"/>
      <c r="P103" s="20"/>
      <c r="Q103" s="117"/>
      <c r="R103" s="117"/>
    </row>
    <row r="104" spans="1:18" ht="15" x14ac:dyDescent="0.25">
      <c r="A104" t="s">
        <v>132</v>
      </c>
      <c r="B104" s="22" t="s">
        <v>27</v>
      </c>
      <c r="C104" s="20"/>
      <c r="D104" s="20"/>
      <c r="E104" s="117"/>
      <c r="F104" s="118"/>
      <c r="O104" s="20"/>
      <c r="P104" s="20"/>
      <c r="Q104" s="117"/>
      <c r="R104" s="118"/>
    </row>
    <row r="105" spans="1:18" ht="15" x14ac:dyDescent="0.25">
      <c r="A105" t="s">
        <v>249</v>
      </c>
      <c r="B105" s="22" t="s">
        <v>28</v>
      </c>
      <c r="C105" s="127">
        <v>45071</v>
      </c>
      <c r="D105" s="127">
        <v>45102</v>
      </c>
      <c r="E105" s="127">
        <v>45017</v>
      </c>
      <c r="F105" s="127">
        <v>45031</v>
      </c>
      <c r="O105" s="20"/>
      <c r="P105" s="20"/>
      <c r="Q105" s="117"/>
      <c r="R105" s="117"/>
    </row>
    <row r="106" spans="1:18" ht="15" x14ac:dyDescent="0.25">
      <c r="A106" t="s">
        <v>133</v>
      </c>
      <c r="B106" s="22" t="s">
        <v>28</v>
      </c>
      <c r="C106" s="127">
        <v>45056</v>
      </c>
      <c r="D106" s="127">
        <v>45107</v>
      </c>
      <c r="E106" s="127">
        <v>45005</v>
      </c>
      <c r="F106" s="127">
        <v>45031</v>
      </c>
      <c r="O106" s="20"/>
      <c r="P106" s="20"/>
      <c r="Q106" s="117"/>
      <c r="R106" s="117"/>
    </row>
    <row r="107" spans="1:18" ht="15" x14ac:dyDescent="0.25">
      <c r="A107" t="s">
        <v>134</v>
      </c>
      <c r="B107" s="22" t="s">
        <v>28</v>
      </c>
      <c r="C107" s="20"/>
      <c r="D107" s="20"/>
      <c r="E107" s="117"/>
      <c r="F107" s="118"/>
      <c r="O107" s="20"/>
      <c r="P107" s="20"/>
      <c r="Q107" s="117"/>
      <c r="R107" s="118"/>
    </row>
    <row r="108" spans="1:18" ht="15" x14ac:dyDescent="0.25">
      <c r="A108" t="s">
        <v>135</v>
      </c>
      <c r="B108" s="22" t="s">
        <v>27</v>
      </c>
      <c r="C108" s="127">
        <v>45071</v>
      </c>
      <c r="D108" s="127">
        <v>45097</v>
      </c>
      <c r="E108" s="127">
        <v>45021</v>
      </c>
      <c r="F108" s="127">
        <v>45036</v>
      </c>
      <c r="O108" s="20"/>
      <c r="P108" s="20"/>
      <c r="Q108" s="117"/>
      <c r="R108" s="117"/>
    </row>
    <row r="109" spans="1:18" ht="15" x14ac:dyDescent="0.25">
      <c r="A109" t="s">
        <v>136</v>
      </c>
      <c r="B109" s="22" t="s">
        <v>28</v>
      </c>
      <c r="C109" s="20"/>
      <c r="D109" s="20"/>
      <c r="E109" s="117"/>
      <c r="F109" s="118"/>
      <c r="O109" s="20"/>
      <c r="P109" s="20"/>
      <c r="Q109" s="117"/>
      <c r="R109" s="118"/>
    </row>
    <row r="110" spans="1:18" ht="15" x14ac:dyDescent="0.25">
      <c r="A110" t="s">
        <v>137</v>
      </c>
      <c r="B110" s="22" t="s">
        <v>28</v>
      </c>
      <c r="C110" s="20"/>
      <c r="D110" s="20"/>
      <c r="E110" s="117"/>
      <c r="F110" s="118"/>
      <c r="O110" s="20"/>
      <c r="P110" s="20"/>
      <c r="Q110" s="117"/>
      <c r="R110" s="118"/>
    </row>
    <row r="111" spans="1:18" ht="15" x14ac:dyDescent="0.25">
      <c r="A111" t="s">
        <v>138</v>
      </c>
      <c r="B111" s="22" t="s">
        <v>28</v>
      </c>
      <c r="C111" s="127">
        <v>45071</v>
      </c>
      <c r="D111" s="127">
        <v>45102</v>
      </c>
      <c r="E111" s="127">
        <v>45017</v>
      </c>
      <c r="F111" s="127">
        <v>45036</v>
      </c>
      <c r="O111" s="20"/>
      <c r="P111" s="20"/>
      <c r="Q111" s="117"/>
      <c r="R111" s="117"/>
    </row>
    <row r="112" spans="1:18" ht="15" x14ac:dyDescent="0.25">
      <c r="A112" t="s">
        <v>139</v>
      </c>
      <c r="B112" s="22" t="s">
        <v>27</v>
      </c>
      <c r="C112" s="127">
        <v>45077</v>
      </c>
      <c r="D112" s="127">
        <v>45097</v>
      </c>
      <c r="E112" s="127">
        <v>45017</v>
      </c>
      <c r="F112" s="127">
        <v>45036</v>
      </c>
      <c r="O112" s="20"/>
      <c r="P112" s="20"/>
      <c r="Q112" s="117"/>
      <c r="R112" s="117"/>
    </row>
    <row r="113" spans="1:18" ht="15" x14ac:dyDescent="0.25">
      <c r="A113" t="s">
        <v>140</v>
      </c>
      <c r="B113" s="22" t="s">
        <v>27</v>
      </c>
      <c r="C113" s="20"/>
      <c r="D113" s="20"/>
      <c r="E113" s="117"/>
      <c r="F113" s="118"/>
      <c r="O113" s="20"/>
      <c r="P113" s="20"/>
      <c r="Q113" s="117"/>
      <c r="R113" s="118"/>
    </row>
    <row r="114" spans="1:18" ht="15" x14ac:dyDescent="0.25">
      <c r="A114" t="s">
        <v>141</v>
      </c>
      <c r="B114" s="22" t="s">
        <v>28</v>
      </c>
      <c r="C114" s="127">
        <v>45071</v>
      </c>
      <c r="D114" s="127">
        <v>45102</v>
      </c>
      <c r="E114" s="127">
        <v>45017</v>
      </c>
      <c r="F114" s="127">
        <v>45036</v>
      </c>
      <c r="O114" s="20"/>
      <c r="P114" s="20"/>
      <c r="Q114" s="117"/>
      <c r="R114" s="117"/>
    </row>
    <row r="115" spans="1:18" ht="15" x14ac:dyDescent="0.25">
      <c r="A115" t="s">
        <v>142</v>
      </c>
      <c r="B115" s="22" t="s">
        <v>28</v>
      </c>
      <c r="C115" s="127">
        <v>45071</v>
      </c>
      <c r="D115" s="20">
        <v>45102</v>
      </c>
      <c r="E115" s="127">
        <v>45017</v>
      </c>
      <c r="F115" s="390">
        <v>45036</v>
      </c>
      <c r="O115" s="20"/>
      <c r="P115" s="20"/>
      <c r="Q115" s="117"/>
      <c r="R115" s="118"/>
    </row>
    <row r="116" spans="1:18" ht="15" x14ac:dyDescent="0.25">
      <c r="A116" t="s">
        <v>143</v>
      </c>
      <c r="B116" s="22" t="s">
        <v>27</v>
      </c>
      <c r="C116" s="127">
        <v>45071</v>
      </c>
      <c r="D116" s="127">
        <v>45097</v>
      </c>
      <c r="E116" s="127">
        <v>45021</v>
      </c>
      <c r="F116" s="127">
        <v>45036</v>
      </c>
      <c r="O116" s="20"/>
      <c r="P116" s="20"/>
      <c r="Q116" s="117"/>
      <c r="R116" s="117"/>
    </row>
    <row r="117" spans="1:18" ht="15" x14ac:dyDescent="0.25">
      <c r="A117" t="s">
        <v>144</v>
      </c>
      <c r="B117" s="22" t="s">
        <v>28</v>
      </c>
      <c r="C117" s="127">
        <v>45071</v>
      </c>
      <c r="D117" s="20">
        <v>45102</v>
      </c>
      <c r="E117" s="127">
        <v>45017</v>
      </c>
      <c r="F117" s="390">
        <v>45036</v>
      </c>
      <c r="O117" s="20"/>
      <c r="P117" s="20"/>
      <c r="Q117" s="117"/>
      <c r="R117" s="118"/>
    </row>
    <row r="118" spans="1:18" x14ac:dyDescent="0.2">
      <c r="E118" s="21"/>
      <c r="Q118" s="21"/>
    </row>
    <row r="119" spans="1:18" x14ac:dyDescent="0.2">
      <c r="E119" s="19"/>
      <c r="Q119" s="19"/>
    </row>
    <row r="120" spans="1:18" x14ac:dyDescent="0.2">
      <c r="E120" s="19"/>
      <c r="Q120" s="19"/>
    </row>
    <row r="121" spans="1:18" x14ac:dyDescent="0.2">
      <c r="E121" s="19"/>
      <c r="Q121" s="19"/>
    </row>
    <row r="122" spans="1:18" x14ac:dyDescent="0.2">
      <c r="E122" s="19"/>
      <c r="Q122" s="19"/>
    </row>
    <row r="123" spans="1:18" x14ac:dyDescent="0.2">
      <c r="E123" s="19"/>
      <c r="Q123" s="19"/>
    </row>
    <row r="124" spans="1:18" x14ac:dyDescent="0.2">
      <c r="E124" s="19"/>
      <c r="Q124" s="19"/>
    </row>
    <row r="125" spans="1:18" x14ac:dyDescent="0.2">
      <c r="E125" s="19"/>
      <c r="Q125" s="19"/>
    </row>
    <row r="126" spans="1:18" x14ac:dyDescent="0.2">
      <c r="E126" s="19"/>
      <c r="Q126" s="19"/>
    </row>
    <row r="127" spans="1:18" x14ac:dyDescent="0.2">
      <c r="E127" s="19"/>
      <c r="Q127" s="19"/>
    </row>
    <row r="128" spans="1:18" x14ac:dyDescent="0.2">
      <c r="E128" s="19"/>
      <c r="Q128" s="19"/>
    </row>
    <row r="129" spans="5:17" x14ac:dyDescent="0.2">
      <c r="E129" s="19"/>
      <c r="Q129" s="19"/>
    </row>
    <row r="130" spans="5:17" x14ac:dyDescent="0.2">
      <c r="E130" s="19"/>
      <c r="Q130" s="19"/>
    </row>
    <row r="131" spans="5:17" x14ac:dyDescent="0.2">
      <c r="E131" s="19"/>
      <c r="Q131" s="19"/>
    </row>
    <row r="132" spans="5:17" x14ac:dyDescent="0.2">
      <c r="E132" s="19"/>
      <c r="Q132" s="19"/>
    </row>
    <row r="133" spans="5:17" x14ac:dyDescent="0.2">
      <c r="E133" s="19"/>
      <c r="Q133" s="19"/>
    </row>
    <row r="134" spans="5:17" x14ac:dyDescent="0.2">
      <c r="E134" s="19"/>
      <c r="Q134" s="19"/>
    </row>
    <row r="135" spans="5:17" x14ac:dyDescent="0.2">
      <c r="E135" s="19"/>
      <c r="Q135" s="19"/>
    </row>
    <row r="136" spans="5:17" x14ac:dyDescent="0.2">
      <c r="E136" s="19"/>
      <c r="Q136" s="19"/>
    </row>
    <row r="137" spans="5:17" x14ac:dyDescent="0.2">
      <c r="E137" s="19"/>
      <c r="Q137" s="19"/>
    </row>
    <row r="138" spans="5:17" x14ac:dyDescent="0.2">
      <c r="E138" s="19"/>
    </row>
    <row r="139" spans="5:17" x14ac:dyDescent="0.2">
      <c r="E139" s="19"/>
    </row>
    <row r="140" spans="5:17" x14ac:dyDescent="0.2">
      <c r="E140" s="19"/>
    </row>
    <row r="141" spans="5:17" x14ac:dyDescent="0.2">
      <c r="E141" s="19"/>
    </row>
  </sheetData>
  <sheetProtection sheet="1" objects="1" scenarios="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110</vt:i4>
      </vt:variant>
    </vt:vector>
  </HeadingPairs>
  <TitlesOfParts>
    <vt:vector size="116" baseType="lpstr">
      <vt:lpstr>Instructions</vt:lpstr>
      <vt:lpstr>Corn Already Planted</vt:lpstr>
      <vt:lpstr>Soybeans Already Planted</vt:lpstr>
      <vt:lpstr>Corn Prevented Planted</vt:lpstr>
      <vt:lpstr>Soybeans Prevented Planted</vt:lpstr>
      <vt:lpstr>RMAData</vt:lpstr>
      <vt:lpstr>'Corn Prevented Planted'!APHc</vt:lpstr>
      <vt:lpstr>APHc</vt:lpstr>
      <vt:lpstr>'Corn Prevented Planted'!APHs</vt:lpstr>
      <vt:lpstr>'Soybeans Prevented Planted'!APHs</vt:lpstr>
      <vt:lpstr>APHs</vt:lpstr>
      <vt:lpstr>'Corn Prevented Planted'!AsIsRPIndc</vt:lpstr>
      <vt:lpstr>'Soybeans Prevented Planted'!AsIsRPIndc</vt:lpstr>
      <vt:lpstr>AsIsRPIndc</vt:lpstr>
      <vt:lpstr>'Soybeans Already Planted'!AsIsRPInds</vt:lpstr>
      <vt:lpstr>'Corn Prevented Planted'!AsIsYPIndc</vt:lpstr>
      <vt:lpstr>'Soybeans Prevented Planted'!AsIsYPIndc</vt:lpstr>
      <vt:lpstr>AsIsYPIndc</vt:lpstr>
      <vt:lpstr>'Soybeans Already Planted'!AsIsYPInds</vt:lpstr>
      <vt:lpstr>'Corn Prevented Planted'!County</vt:lpstr>
      <vt:lpstr>'Soybeans Already Planted'!County</vt:lpstr>
      <vt:lpstr>'Soybeans Prevented Planted'!County</vt:lpstr>
      <vt:lpstr>County</vt:lpstr>
      <vt:lpstr>'Corn Prevented Planted'!Crop1Perc</vt:lpstr>
      <vt:lpstr>'Soybeans Already Planted'!Crop1Perc</vt:lpstr>
      <vt:lpstr>'Soybeans Prevented Planted'!Crop1Perc</vt:lpstr>
      <vt:lpstr>Crop1Perc</vt:lpstr>
      <vt:lpstr>'Corn Prevented Planted'!Crop1Pmt</vt:lpstr>
      <vt:lpstr>'Soybeans Already Planted'!Crop1Pmt</vt:lpstr>
      <vt:lpstr>'Soybeans Prevented Planted'!Crop1Pmt</vt:lpstr>
      <vt:lpstr>Crop1Pmt</vt:lpstr>
      <vt:lpstr>'Corn Prevented Planted'!EndPlc</vt:lpstr>
      <vt:lpstr>'Soybeans Already Planted'!EndPlc</vt:lpstr>
      <vt:lpstr>'Soybeans Prevented Planted'!EndPlc</vt:lpstr>
      <vt:lpstr>EndPlc</vt:lpstr>
      <vt:lpstr>'Corn Prevented Planted'!EndPls</vt:lpstr>
      <vt:lpstr>'Soybeans Already Planted'!EndPls</vt:lpstr>
      <vt:lpstr>'Soybeans Prevented Planted'!EndPls</vt:lpstr>
      <vt:lpstr>EndPls</vt:lpstr>
      <vt:lpstr>'Corn Prevented Planted'!FinPlc</vt:lpstr>
      <vt:lpstr>'Soybeans Already Planted'!FinPlc</vt:lpstr>
      <vt:lpstr>'Soybeans Prevented Planted'!FinPlc</vt:lpstr>
      <vt:lpstr>FinPlc</vt:lpstr>
      <vt:lpstr>'Corn Prevented Planted'!FinPLs</vt:lpstr>
      <vt:lpstr>'Soybeans Already Planted'!FinPLs</vt:lpstr>
      <vt:lpstr>'Soybeans Prevented Planted'!FinPLs</vt:lpstr>
      <vt:lpstr>FinPLs</vt:lpstr>
      <vt:lpstr>IndemPc</vt:lpstr>
      <vt:lpstr>IndemPrc</vt:lpstr>
      <vt:lpstr>IndemPs</vt:lpstr>
      <vt:lpstr>'Corn Prevented Planted'!InsCovc</vt:lpstr>
      <vt:lpstr>'Soybeans Already Planted'!InsCovc</vt:lpstr>
      <vt:lpstr>InsCovc</vt:lpstr>
      <vt:lpstr>'Corn Prevented Planted'!InsCovs</vt:lpstr>
      <vt:lpstr>'Soybeans Prevented Planted'!InsCovs</vt:lpstr>
      <vt:lpstr>InsCovs</vt:lpstr>
      <vt:lpstr>'Corn Prevented Planted'!InsSelc</vt:lpstr>
      <vt:lpstr>'Soybeans Already Planted'!InsSelc</vt:lpstr>
      <vt:lpstr>InsSelc</vt:lpstr>
      <vt:lpstr>'Corn Prevented Planted'!InsSels</vt:lpstr>
      <vt:lpstr>'Soybeans Prevented Planted'!InsSels</vt:lpstr>
      <vt:lpstr>InsSels</vt:lpstr>
      <vt:lpstr>'Corn Prevented Planted'!PlPerc</vt:lpstr>
      <vt:lpstr>'Soybeans Already Planted'!PlPerc</vt:lpstr>
      <vt:lpstr>'Soybeans Prevented Planted'!PlPerc</vt:lpstr>
      <vt:lpstr>PlPerc</vt:lpstr>
      <vt:lpstr>'Corn Prevented Planted'!PlPers</vt:lpstr>
      <vt:lpstr>'Soybeans Already Planted'!PlPers</vt:lpstr>
      <vt:lpstr>'Soybeans Prevented Planted'!PlPers</vt:lpstr>
      <vt:lpstr>PlPers</vt:lpstr>
      <vt:lpstr>'Corn Prevented Planted'!Practicalc</vt:lpstr>
      <vt:lpstr>'Soybeans Already Planted'!Practicalc</vt:lpstr>
      <vt:lpstr>'Soybeans Prevented Planted'!Practicalc</vt:lpstr>
      <vt:lpstr>Practicalc</vt:lpstr>
      <vt:lpstr>'Corn Prevented Planted'!Practicals</vt:lpstr>
      <vt:lpstr>'Soybeans Already Planted'!Practicals</vt:lpstr>
      <vt:lpstr>'Soybeans Prevented Planted'!Practicals</vt:lpstr>
      <vt:lpstr>Practicals</vt:lpstr>
      <vt:lpstr>'Corn Prevented Planted'!PractPercent</vt:lpstr>
      <vt:lpstr>'Soybeans Already Planted'!PractPercent</vt:lpstr>
      <vt:lpstr>'Soybeans Prevented Planted'!PractPercent</vt:lpstr>
      <vt:lpstr>PractPercent</vt:lpstr>
      <vt:lpstr>'Corn Already Planted'!Print_Area</vt:lpstr>
      <vt:lpstr>'Corn Prevented Planted'!Print_Area</vt:lpstr>
      <vt:lpstr>'Soybeans Already Planted'!Print_Area</vt:lpstr>
      <vt:lpstr>'Soybeans Prevented Planted'!Print_Area</vt:lpstr>
      <vt:lpstr>'Corn Prevented Planted'!Region</vt:lpstr>
      <vt:lpstr>'Soybeans Already Planted'!Region</vt:lpstr>
      <vt:lpstr>'Soybeans Prevented Planted'!Region</vt:lpstr>
      <vt:lpstr>Region</vt:lpstr>
      <vt:lpstr>'Corn Prevented Planted'!RepRPIndc</vt:lpstr>
      <vt:lpstr>'Soybeans Already Planted'!RepRPIndc</vt:lpstr>
      <vt:lpstr>'Soybeans Prevented Planted'!RepRPIndc</vt:lpstr>
      <vt:lpstr>RepRPIndc</vt:lpstr>
      <vt:lpstr>'Corn Prevented Planted'!RepYPIndc</vt:lpstr>
      <vt:lpstr>'Soybeans Already Planted'!RepYPIndc</vt:lpstr>
      <vt:lpstr>'Soybeans Prevented Planted'!RepYPIndc</vt:lpstr>
      <vt:lpstr>RepYPIndc</vt:lpstr>
      <vt:lpstr>'Corn Prevented Planted'!RevGuarc</vt:lpstr>
      <vt:lpstr>'Soybeans Already Planted'!RevGuarc</vt:lpstr>
      <vt:lpstr>'Soybeans Prevented Planted'!RevGuarc</vt:lpstr>
      <vt:lpstr>RevGuarc</vt:lpstr>
      <vt:lpstr>'Corn Prevented Planted'!RevGuars</vt:lpstr>
      <vt:lpstr>RevGuars</vt:lpstr>
      <vt:lpstr>'Corn Prevented Planted'!RPInds</vt:lpstr>
      <vt:lpstr>RPInds</vt:lpstr>
      <vt:lpstr>'Corn Prevented Planted'!RPltIndc</vt:lpstr>
      <vt:lpstr>'Soybeans Already Planted'!RPltIndc</vt:lpstr>
      <vt:lpstr>'Soybeans Prevented Planted'!RPltIndc</vt:lpstr>
      <vt:lpstr>RPltIndc</vt:lpstr>
      <vt:lpstr>'Corn Prevented Planted'!RPltInds</vt:lpstr>
      <vt:lpstr>'Soybeans Already Planted'!RPltInds</vt:lpstr>
      <vt:lpstr>'Soybeans Prevented Planted'!RPltInds</vt:lpstr>
      <vt:lpstr>RPltInds</vt:lpstr>
      <vt:lpstr>'Corn Prevented Planted'!YPInds</vt:lpstr>
      <vt:lpstr>YPInds</vt:lpstr>
    </vt:vector>
  </TitlesOfParts>
  <Company>Economics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MasseyR@missouri.edu</dc:creator>
  <cp:lastModifiedBy>Massey, Ray</cp:lastModifiedBy>
  <cp:lastPrinted>2012-03-20T16:31:17Z</cp:lastPrinted>
  <dcterms:created xsi:type="dcterms:W3CDTF">2004-05-28T19:37:33Z</dcterms:created>
  <dcterms:modified xsi:type="dcterms:W3CDTF">2023-03-24T19:41:56Z</dcterms:modified>
  <cp:contentStatus>I modified the estimate of yield using the same equations used in the Replant Decision Aid</cp:contentStatus>
</cp:coreProperties>
</file>